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1\EQUIPAMIENTO GUIAS\"/>
    </mc:Choice>
  </mc:AlternateContent>
  <bookViews>
    <workbookView xWindow="0" yWindow="0" windowWidth="20490" windowHeight="7065" activeTab="5"/>
  </bookViews>
  <sheets>
    <sheet name="Informática" sheetId="3" r:id="rId1"/>
    <sheet name="Diag Informatica" sheetId="7" r:id="rId2"/>
    <sheet name="Enfermeria Gral" sheetId="5" r:id="rId3"/>
    <sheet name="Diag Enfermería" sheetId="8" r:id="rId4"/>
    <sheet name="Administración" sheetId="6" r:id="rId5"/>
    <sheet name="Diag Administracion" sheetId="9" r:id="rId6"/>
  </sheets>
  <definedNames>
    <definedName name="_xlnm.Print_Area" localSheetId="4">Administración!$A$1:$P$21</definedName>
    <definedName name="_xlnm.Print_Area" localSheetId="2">'Enfermeria Gral'!$A$1:$P$145</definedName>
    <definedName name="_xlnm.Print_Area" localSheetId="0">Informática!$A$1:$P$27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9" l="1"/>
  <c r="E12" i="9"/>
  <c r="E8" i="9"/>
  <c r="E9" i="9"/>
  <c r="E10" i="9"/>
  <c r="E11" i="9"/>
  <c r="E7" i="9"/>
  <c r="P21" i="6"/>
  <c r="P14" i="6"/>
  <c r="P13" i="6"/>
  <c r="P11" i="6"/>
  <c r="P10" i="6"/>
  <c r="P9" i="6"/>
  <c r="P8" i="6"/>
  <c r="E22" i="8"/>
  <c r="E21" i="8"/>
  <c r="E23" i="8"/>
  <c r="E24" i="8"/>
  <c r="E25" i="8"/>
  <c r="E20" i="8"/>
  <c r="E19" i="8"/>
  <c r="E18" i="8"/>
  <c r="E17" i="8"/>
  <c r="E10" i="8"/>
  <c r="E9" i="8"/>
  <c r="E8" i="8"/>
  <c r="E7" i="8"/>
  <c r="P144" i="5"/>
  <c r="P130" i="5"/>
  <c r="P122" i="5"/>
  <c r="P119" i="5"/>
  <c r="P114" i="5"/>
  <c r="P108" i="5"/>
  <c r="P105" i="5"/>
  <c r="P101" i="5"/>
  <c r="P100" i="5"/>
  <c r="P95" i="5"/>
  <c r="P89" i="5"/>
  <c r="P88" i="5"/>
  <c r="O85" i="5"/>
  <c r="P85" i="5" s="1"/>
  <c r="O86" i="5"/>
  <c r="P86" i="5" s="1"/>
  <c r="O87" i="5"/>
  <c r="O89" i="5"/>
  <c r="O90" i="5"/>
  <c r="P90" i="5" s="1"/>
  <c r="O91" i="5"/>
  <c r="P91" i="5" s="1"/>
  <c r="O92" i="5"/>
  <c r="O93" i="5"/>
  <c r="P93" i="5" s="1"/>
  <c r="O94" i="5"/>
  <c r="O95" i="5"/>
  <c r="O96" i="5"/>
  <c r="O97" i="5"/>
  <c r="P97" i="5" s="1"/>
  <c r="O98" i="5"/>
  <c r="P98" i="5" s="1"/>
  <c r="O99" i="5"/>
  <c r="P99" i="5" s="1"/>
  <c r="O102" i="5"/>
  <c r="P102" i="5" s="1"/>
  <c r="O103" i="5"/>
  <c r="P103" i="5" s="1"/>
  <c r="O104" i="5"/>
  <c r="O106" i="5"/>
  <c r="O107" i="5"/>
  <c r="O109" i="5"/>
  <c r="P109" i="5" s="1"/>
  <c r="O111" i="5"/>
  <c r="P111" i="5" s="1"/>
  <c r="O112" i="5"/>
  <c r="O114" i="5"/>
  <c r="O115" i="5"/>
  <c r="O116" i="5"/>
  <c r="P116" i="5" s="1"/>
  <c r="O117" i="5"/>
  <c r="P117" i="5" s="1"/>
  <c r="O118" i="5"/>
  <c r="P118" i="5" s="1"/>
  <c r="O119" i="5"/>
  <c r="O120" i="5"/>
  <c r="P120" i="5" s="1"/>
  <c r="O121" i="5"/>
  <c r="O123" i="5"/>
  <c r="P123" i="5" s="1"/>
  <c r="O124" i="5"/>
  <c r="O126" i="5"/>
  <c r="O127" i="5"/>
  <c r="O129" i="5"/>
  <c r="O130" i="5"/>
  <c r="O131" i="5"/>
  <c r="P131" i="5" s="1"/>
  <c r="O132" i="5"/>
  <c r="O133" i="5"/>
  <c r="O134" i="5"/>
  <c r="O84" i="5"/>
  <c r="N143" i="5"/>
  <c r="N142" i="5"/>
  <c r="N140" i="5"/>
  <c r="N133" i="5"/>
  <c r="N131" i="5"/>
  <c r="N129" i="5"/>
  <c r="N127" i="5"/>
  <c r="N122" i="5"/>
  <c r="N121" i="5"/>
  <c r="N111" i="5"/>
  <c r="N108" i="5"/>
  <c r="N107" i="5"/>
  <c r="N105" i="5"/>
  <c r="N101" i="5"/>
  <c r="N100" i="5"/>
  <c r="N99" i="5"/>
  <c r="N98" i="5"/>
  <c r="N96" i="5"/>
  <c r="N94" i="5"/>
  <c r="N91" i="5"/>
  <c r="N90" i="5"/>
  <c r="N88" i="5"/>
  <c r="P73" i="5"/>
  <c r="P72" i="5"/>
  <c r="P70" i="5"/>
  <c r="P69" i="5"/>
  <c r="P74" i="5" s="1"/>
  <c r="P67" i="5"/>
  <c r="P61" i="5"/>
  <c r="P63" i="5" s="1"/>
  <c r="O60" i="5"/>
  <c r="O61" i="5"/>
  <c r="O62" i="5"/>
  <c r="N60" i="5"/>
  <c r="O59" i="5"/>
  <c r="N59" i="5"/>
  <c r="P47" i="5"/>
  <c r="P42" i="5"/>
  <c r="P35" i="5"/>
  <c r="P20" i="5"/>
  <c r="P15" i="5"/>
  <c r="P14" i="5"/>
  <c r="P7" i="5"/>
  <c r="N9" i="5"/>
  <c r="N12" i="5"/>
  <c r="N14" i="5"/>
  <c r="N17" i="5"/>
  <c r="N21" i="5"/>
  <c r="N23" i="5"/>
  <c r="N24" i="5"/>
  <c r="N25" i="5"/>
  <c r="N26" i="5"/>
  <c r="N27" i="5"/>
  <c r="N28" i="5"/>
  <c r="N29" i="5"/>
  <c r="N30" i="5"/>
  <c r="N31" i="5"/>
  <c r="N32" i="5"/>
  <c r="N33" i="5"/>
  <c r="N36" i="5"/>
  <c r="N37" i="5"/>
  <c r="N38" i="5"/>
  <c r="N39" i="5"/>
  <c r="N40" i="5"/>
  <c r="N41" i="5"/>
  <c r="N43" i="5"/>
  <c r="N46" i="5"/>
  <c r="N49" i="5"/>
  <c r="N50" i="5"/>
  <c r="N51" i="5"/>
  <c r="N7" i="5"/>
  <c r="O8" i="5"/>
  <c r="O9" i="5"/>
  <c r="O10" i="5"/>
  <c r="O11" i="5"/>
  <c r="P11" i="5" s="1"/>
  <c r="O12" i="5"/>
  <c r="P12" i="5" s="1"/>
  <c r="O13" i="5"/>
  <c r="P13" i="5" s="1"/>
  <c r="O14" i="5"/>
  <c r="O15" i="5"/>
  <c r="O16" i="5"/>
  <c r="O17" i="5"/>
  <c r="P17" i="5" s="1"/>
  <c r="O18" i="5"/>
  <c r="P18" i="5" s="1"/>
  <c r="O19" i="5"/>
  <c r="P19" i="5" s="1"/>
  <c r="O21" i="5"/>
  <c r="P21" i="5" s="1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P34" i="5" s="1"/>
  <c r="O35" i="5"/>
  <c r="O36" i="5"/>
  <c r="O37" i="5"/>
  <c r="O38" i="5"/>
  <c r="O39" i="5"/>
  <c r="O40" i="5"/>
  <c r="O41" i="5"/>
  <c r="O42" i="5"/>
  <c r="O43" i="5"/>
  <c r="O44" i="5"/>
  <c r="P44" i="5" s="1"/>
  <c r="O45" i="5"/>
  <c r="P45" i="5" s="1"/>
  <c r="O46" i="5"/>
  <c r="O47" i="5"/>
  <c r="O48" i="5"/>
  <c r="P48" i="5" s="1"/>
  <c r="O49" i="5"/>
  <c r="O50" i="5"/>
  <c r="O51" i="5"/>
  <c r="O52" i="5"/>
  <c r="O7" i="5"/>
  <c r="E25" i="7"/>
  <c r="E24" i="7"/>
  <c r="E21" i="7"/>
  <c r="E9" i="7"/>
  <c r="E10" i="7"/>
  <c r="E11" i="7"/>
  <c r="E12" i="7"/>
  <c r="E13" i="7"/>
  <c r="E14" i="7"/>
  <c r="E15" i="7"/>
  <c r="E8" i="7"/>
  <c r="P26" i="3"/>
  <c r="P25" i="3"/>
  <c r="P24" i="3"/>
  <c r="P23" i="3"/>
  <c r="P22" i="3"/>
  <c r="P21" i="3"/>
  <c r="P19" i="3"/>
  <c r="P18" i="3"/>
  <c r="P16" i="3"/>
  <c r="P14" i="3"/>
  <c r="P12" i="3"/>
  <c r="P11" i="3"/>
  <c r="P10" i="3"/>
  <c r="P9" i="3"/>
  <c r="P8" i="3"/>
  <c r="P7" i="3"/>
  <c r="N14" i="3"/>
  <c r="P53" i="5" l="1"/>
  <c r="P75" i="5" s="1"/>
  <c r="P145" i="5" s="1"/>
  <c r="E26" i="8"/>
  <c r="E11" i="8"/>
  <c r="P135" i="5"/>
  <c r="P27" i="3"/>
  <c r="E28" i="8" l="1"/>
</calcChain>
</file>

<file path=xl/sharedStrings.xml><?xml version="1.0" encoding="utf-8"?>
<sst xmlns="http://schemas.openxmlformats.org/spreadsheetml/2006/main" count="672" uniqueCount="358">
  <si>
    <t>DESCRIPCIÓN</t>
  </si>
  <si>
    <t>TOTAL</t>
  </si>
  <si>
    <r>
      <rPr>
        <b/>
        <sz val="11"/>
        <rFont val="Arial"/>
        <family val="2"/>
      </rPr>
      <t>Guía:</t>
    </r>
  </si>
  <si>
    <r>
      <rPr>
        <b/>
        <sz val="11"/>
        <rFont val="Arial"/>
        <family val="2"/>
      </rPr>
      <t>Carrera:</t>
    </r>
  </si>
  <si>
    <r>
      <rPr>
        <b/>
        <sz val="9"/>
        <rFont val="Arial"/>
        <family val="2"/>
      </rPr>
      <t>CLAVE</t>
    </r>
  </si>
  <si>
    <r>
      <rPr>
        <b/>
        <sz val="9"/>
        <rFont val="Arial"/>
        <family val="2"/>
      </rPr>
      <t>DESCRIPCION</t>
    </r>
  </si>
  <si>
    <r>
      <rPr>
        <b/>
        <sz val="9"/>
        <rFont val="Arial"/>
        <family val="2"/>
      </rPr>
      <t>CANT.</t>
    </r>
  </si>
  <si>
    <r>
      <rPr>
        <b/>
        <sz val="9"/>
        <rFont val="Arial"/>
        <family val="2"/>
      </rPr>
      <t>COSTO</t>
    </r>
  </si>
  <si>
    <r>
      <rPr>
        <b/>
        <sz val="9"/>
        <rFont val="Arial"/>
        <family val="2"/>
      </rPr>
      <t>TOTAL</t>
    </r>
  </si>
  <si>
    <r>
      <rPr>
        <sz val="8"/>
        <rFont val="Arial"/>
        <family val="2"/>
      </rPr>
      <t>SG00001</t>
    </r>
  </si>
  <si>
    <r>
      <rPr>
        <b/>
        <sz val="8"/>
        <rFont val="Arial"/>
        <family val="2"/>
      </rPr>
      <t>MOBILIARIO</t>
    </r>
  </si>
  <si>
    <r>
      <rPr>
        <sz val="8"/>
        <rFont val="Arial"/>
        <family val="2"/>
      </rPr>
      <t>MM00005</t>
    </r>
  </si>
  <si>
    <r>
      <rPr>
        <sz val="8"/>
        <rFont val="Arial"/>
        <family val="2"/>
      </rPr>
      <t>MT00062</t>
    </r>
  </si>
  <si>
    <r>
      <rPr>
        <sz val="8"/>
        <rFont val="Arial"/>
        <family val="2"/>
      </rPr>
      <t>MESA PARA MAESTRO</t>
    </r>
  </si>
  <si>
    <r>
      <rPr>
        <sz val="8"/>
        <rFont val="Arial"/>
        <family val="2"/>
      </rPr>
      <t>MM00057</t>
    </r>
  </si>
  <si>
    <r>
      <rPr>
        <sz val="8"/>
        <rFont val="Arial"/>
        <family val="2"/>
      </rPr>
      <t>SILLA APILABLE</t>
    </r>
  </si>
  <si>
    <r>
      <rPr>
        <sz val="8"/>
        <rFont val="Arial"/>
        <family val="2"/>
      </rPr>
      <t>MG00004</t>
    </r>
  </si>
  <si>
    <r>
      <rPr>
        <sz val="8"/>
        <rFont val="Arial"/>
        <family val="2"/>
      </rPr>
      <t>ANAQUEL TIPO ESQUELETO</t>
    </r>
  </si>
  <si>
    <r>
      <rPr>
        <sz val="8"/>
        <rFont val="Arial"/>
        <family val="2"/>
      </rPr>
      <t>EP03007</t>
    </r>
  </si>
  <si>
    <r>
      <rPr>
        <sz val="8"/>
        <rFont val="Arial"/>
        <family val="2"/>
      </rPr>
      <t>SG00003</t>
    </r>
  </si>
  <si>
    <r>
      <rPr>
        <sz val="8"/>
        <rFont val="Arial"/>
        <family val="2"/>
      </rPr>
      <t>EXTINGUIDOR DE PARED</t>
    </r>
  </si>
  <si>
    <r>
      <rPr>
        <sz val="8"/>
        <rFont val="Arial"/>
        <family val="2"/>
      </rPr>
      <t>MG00014</t>
    </r>
  </si>
  <si>
    <r>
      <rPr>
        <b/>
        <sz val="10"/>
        <rFont val="Arial"/>
        <family val="2"/>
      </rPr>
      <t>Estimado en dólares</t>
    </r>
  </si>
  <si>
    <r>
      <rPr>
        <b/>
        <sz val="8"/>
        <rFont val="Arial"/>
        <family val="2"/>
      </rPr>
      <t>EQUIPO PRINCIPAL</t>
    </r>
  </si>
  <si>
    <r>
      <rPr>
        <b/>
        <sz val="8"/>
        <rFont val="Arial"/>
        <family val="2"/>
      </rPr>
      <t>APARATOS Y EQUIPOS DE MEDICION</t>
    </r>
  </si>
  <si>
    <r>
      <rPr>
        <sz val="8"/>
        <rFont val="Arial"/>
        <family val="2"/>
      </rPr>
      <t>MP00204</t>
    </r>
  </si>
  <si>
    <r>
      <rPr>
        <b/>
        <sz val="8"/>
        <rFont val="Arial"/>
        <family val="2"/>
      </rPr>
      <t>HERRAMIENTA</t>
    </r>
  </si>
  <si>
    <r>
      <rPr>
        <b/>
        <sz val="8"/>
        <rFont val="Arial"/>
        <family val="2"/>
      </rPr>
      <t>EQUIPO DE SEGURIDAD</t>
    </r>
  </si>
  <si>
    <r>
      <rPr>
        <sz val="8"/>
        <rFont val="Arial"/>
        <family val="2"/>
      </rPr>
      <t>BOTIQUÍN</t>
    </r>
  </si>
  <si>
    <r>
      <rPr>
        <sz val="8"/>
        <rFont val="Arial"/>
        <family val="2"/>
      </rPr>
      <t>EP00638</t>
    </r>
  </si>
  <si>
    <r>
      <rPr>
        <sz val="8"/>
        <rFont val="Arial"/>
        <family val="2"/>
      </rPr>
      <t>COMPUTADORA PERSONAL DE ESCRITORIO</t>
    </r>
  </si>
  <si>
    <r>
      <rPr>
        <sz val="8"/>
        <rFont val="Arial"/>
        <family val="2"/>
      </rPr>
      <t>MG00016</t>
    </r>
  </si>
  <si>
    <r>
      <rPr>
        <sz val="8"/>
        <rFont val="Arial"/>
        <family val="2"/>
      </rPr>
      <t>GABINETE UNIVERSAL METÁLICO</t>
    </r>
  </si>
  <si>
    <r>
      <rPr>
        <sz val="8"/>
        <rFont val="Arial"/>
        <family val="2"/>
      </rPr>
      <t>MT00085</t>
    </r>
  </si>
  <si>
    <r>
      <rPr>
        <b/>
        <sz val="8"/>
        <rFont val="Arial"/>
        <family val="2"/>
      </rPr>
      <t>SOFTWARE</t>
    </r>
  </si>
  <si>
    <r>
      <rPr>
        <b/>
        <sz val="9"/>
        <rFont val="Arial"/>
        <family val="2"/>
      </rPr>
      <t>CANT</t>
    </r>
  </si>
  <si>
    <r>
      <rPr>
        <sz val="8"/>
        <rFont val="Arial"/>
        <family val="2"/>
      </rPr>
      <t>ENP0379</t>
    </r>
  </si>
  <si>
    <r>
      <rPr>
        <sz val="8"/>
        <rFont val="Arial"/>
        <family val="2"/>
      </rPr>
      <t>ENP0243</t>
    </r>
  </si>
  <si>
    <r>
      <rPr>
        <sz val="8"/>
        <rFont val="Arial"/>
        <family val="2"/>
      </rPr>
      <t>EP10038</t>
    </r>
  </si>
  <si>
    <r>
      <rPr>
        <sz val="8"/>
        <rFont val="Arial"/>
        <family val="2"/>
      </rPr>
      <t>ENP0577</t>
    </r>
  </si>
  <si>
    <r>
      <rPr>
        <sz val="8"/>
        <rFont val="Arial"/>
        <family val="2"/>
      </rPr>
      <t>ENP0575</t>
    </r>
  </si>
  <si>
    <r>
      <rPr>
        <sz val="8"/>
        <rFont val="Arial"/>
        <family val="2"/>
      </rPr>
      <t>ENP0576</t>
    </r>
  </si>
  <si>
    <r>
      <rPr>
        <sz val="8"/>
        <rFont val="Arial"/>
        <family val="2"/>
      </rPr>
      <t>MESA PARA LABORATORIO DE INFORMATICA</t>
    </r>
  </si>
  <si>
    <r>
      <rPr>
        <sz val="8"/>
        <rFont val="Arial"/>
        <family val="2"/>
      </rPr>
      <t>MM00061</t>
    </r>
  </si>
  <si>
    <r>
      <rPr>
        <sz val="8"/>
        <rFont val="Arial"/>
        <family val="2"/>
      </rPr>
      <t>MM00015</t>
    </r>
  </si>
  <si>
    <t>CATÁLOGO DE GUÍAS DE EQUIPAMIENTO</t>
  </si>
  <si>
    <t>COLEGIO NACIONAL DE EDUCACIÓN PROFESIONAL TÉCNICA</t>
  </si>
  <si>
    <r>
      <t xml:space="preserve">Clave: </t>
    </r>
    <r>
      <rPr>
        <sz val="11"/>
        <rFont val="Arial"/>
        <family val="2"/>
      </rPr>
      <t>106</t>
    </r>
  </si>
  <si>
    <r>
      <rPr>
        <sz val="8"/>
        <rFont val="Arial"/>
        <family val="2"/>
      </rPr>
      <t>EP00332</t>
    </r>
  </si>
  <si>
    <r>
      <rPr>
        <sz val="8"/>
        <rFont val="Arial"/>
        <family val="2"/>
      </rPr>
      <t>EP00668</t>
    </r>
  </si>
  <si>
    <r>
      <rPr>
        <sz val="8"/>
        <rFont val="Arial"/>
        <family val="2"/>
      </rPr>
      <t>ENP0330</t>
    </r>
  </si>
  <si>
    <r>
      <rPr>
        <sz val="8"/>
        <rFont val="Arial"/>
        <family val="2"/>
      </rPr>
      <t>ENP0331</t>
    </r>
  </si>
  <si>
    <r>
      <rPr>
        <sz val="8"/>
        <rFont val="Arial"/>
        <family val="2"/>
      </rPr>
      <t>ENP0332</t>
    </r>
  </si>
  <si>
    <r>
      <rPr>
        <sz val="8"/>
        <rFont val="Arial"/>
        <family val="2"/>
      </rPr>
      <t>ENP0333</t>
    </r>
  </si>
  <si>
    <r>
      <rPr>
        <sz val="8"/>
        <rFont val="Arial"/>
        <family val="2"/>
      </rPr>
      <t>ENP0338</t>
    </r>
  </si>
  <si>
    <r>
      <rPr>
        <sz val="8"/>
        <rFont val="Arial"/>
        <family val="2"/>
      </rPr>
      <t>ENP0329</t>
    </r>
  </si>
  <si>
    <r>
      <rPr>
        <sz val="8"/>
        <rFont val="Arial"/>
        <family val="2"/>
      </rPr>
      <t>ENP0334</t>
    </r>
  </si>
  <si>
    <r>
      <rPr>
        <sz val="8"/>
        <rFont val="Arial"/>
        <family val="2"/>
      </rPr>
      <t>ENP0335</t>
    </r>
  </si>
  <si>
    <r>
      <rPr>
        <sz val="8"/>
        <rFont val="Arial"/>
        <family val="2"/>
      </rPr>
      <t>ENP0336</t>
    </r>
  </si>
  <si>
    <r>
      <rPr>
        <sz val="8"/>
        <rFont val="Arial"/>
        <family val="2"/>
      </rPr>
      <t>ENP0337</t>
    </r>
  </si>
  <si>
    <r>
      <rPr>
        <sz val="8"/>
        <rFont val="Arial"/>
        <family val="2"/>
      </rPr>
      <t>ENP0339</t>
    </r>
  </si>
  <si>
    <r>
      <rPr>
        <sz val="8"/>
        <rFont val="Arial"/>
        <family val="2"/>
      </rPr>
      <t>ENP0340</t>
    </r>
  </si>
  <si>
    <r>
      <rPr>
        <sz val="8"/>
        <rFont val="Arial"/>
        <family val="2"/>
      </rPr>
      <t>ENP0341</t>
    </r>
  </si>
  <si>
    <r>
      <rPr>
        <sz val="8"/>
        <rFont val="Arial"/>
        <family val="2"/>
      </rPr>
      <t>ES00170</t>
    </r>
  </si>
  <si>
    <r>
      <rPr>
        <sz val="8"/>
        <rFont val="Arial"/>
        <family val="2"/>
      </rPr>
      <t>EP00192</t>
    </r>
  </si>
  <si>
    <r>
      <rPr>
        <sz val="8"/>
        <rFont val="Arial"/>
        <family val="2"/>
      </rPr>
      <t>EP00193</t>
    </r>
  </si>
  <si>
    <r>
      <rPr>
        <sz val="8"/>
        <rFont val="Arial"/>
        <family val="2"/>
      </rPr>
      <t>EP00654</t>
    </r>
  </si>
  <si>
    <r>
      <rPr>
        <sz val="8"/>
        <rFont val="Arial"/>
        <family val="2"/>
      </rPr>
      <t>EP00659</t>
    </r>
  </si>
  <si>
    <r>
      <rPr>
        <sz val="8"/>
        <rFont val="Arial"/>
        <family val="2"/>
      </rPr>
      <t>EP00660</t>
    </r>
  </si>
  <si>
    <r>
      <rPr>
        <sz val="8"/>
        <rFont val="Arial"/>
        <family val="2"/>
      </rPr>
      <t>EP00665</t>
    </r>
  </si>
  <si>
    <r>
      <rPr>
        <sz val="8"/>
        <rFont val="Arial"/>
        <family val="2"/>
      </rPr>
      <t>EP00670</t>
    </r>
  </si>
  <si>
    <r>
      <rPr>
        <sz val="8"/>
        <rFont val="Arial"/>
        <family val="2"/>
      </rPr>
      <t>EP00671</t>
    </r>
  </si>
  <si>
    <r>
      <rPr>
        <sz val="8"/>
        <rFont val="Arial"/>
        <family val="2"/>
      </rPr>
      <t>EP00672</t>
    </r>
  </si>
  <si>
    <r>
      <rPr>
        <sz val="8"/>
        <rFont val="Arial"/>
        <family val="2"/>
      </rPr>
      <t>EP00683</t>
    </r>
  </si>
  <si>
    <r>
      <rPr>
        <sz val="8"/>
        <rFont val="Arial"/>
        <family val="2"/>
      </rPr>
      <t>EP00686</t>
    </r>
  </si>
  <si>
    <r>
      <rPr>
        <sz val="8"/>
        <rFont val="Arial"/>
        <family val="2"/>
      </rPr>
      <t>EP00687</t>
    </r>
  </si>
  <si>
    <r>
      <rPr>
        <sz val="8"/>
        <rFont val="Arial"/>
        <family val="2"/>
      </rPr>
      <t>EP00688</t>
    </r>
  </si>
  <si>
    <r>
      <rPr>
        <sz val="8"/>
        <rFont val="Arial"/>
        <family val="2"/>
      </rPr>
      <t>EP00689</t>
    </r>
  </si>
  <si>
    <r>
      <rPr>
        <sz val="8"/>
        <rFont val="Arial"/>
        <family val="2"/>
      </rPr>
      <t>EP00691</t>
    </r>
  </si>
  <si>
    <r>
      <rPr>
        <sz val="8"/>
        <rFont val="Arial"/>
        <family val="2"/>
      </rPr>
      <t>EP00692</t>
    </r>
  </si>
  <si>
    <r>
      <rPr>
        <sz val="8"/>
        <rFont val="Arial"/>
        <family val="2"/>
      </rPr>
      <t>EP00701</t>
    </r>
  </si>
  <si>
    <r>
      <rPr>
        <sz val="8"/>
        <rFont val="Arial"/>
        <family val="2"/>
      </rPr>
      <t>EP00708</t>
    </r>
  </si>
  <si>
    <r>
      <rPr>
        <sz val="8"/>
        <rFont val="Arial"/>
        <family val="2"/>
      </rPr>
      <t>EP00716</t>
    </r>
  </si>
  <si>
    <r>
      <rPr>
        <sz val="8"/>
        <rFont val="Arial"/>
        <family val="2"/>
      </rPr>
      <t>EP00720</t>
    </r>
  </si>
  <si>
    <r>
      <rPr>
        <sz val="8"/>
        <rFont val="Arial"/>
        <family val="2"/>
      </rPr>
      <t>EP00724</t>
    </r>
  </si>
  <si>
    <r>
      <rPr>
        <sz val="8"/>
        <rFont val="Arial"/>
        <family val="2"/>
      </rPr>
      <t>EP01198</t>
    </r>
  </si>
  <si>
    <r>
      <rPr>
        <sz val="8"/>
        <rFont val="Arial"/>
        <family val="2"/>
      </rPr>
      <t>EP01203</t>
    </r>
  </si>
  <si>
    <r>
      <rPr>
        <sz val="8"/>
        <rFont val="Arial"/>
        <family val="2"/>
      </rPr>
      <t>EP01204</t>
    </r>
  </si>
  <si>
    <r>
      <rPr>
        <sz val="8"/>
        <rFont val="Arial"/>
        <family val="2"/>
      </rPr>
      <t>EP01205</t>
    </r>
  </si>
  <si>
    <r>
      <rPr>
        <sz val="8"/>
        <rFont val="Arial"/>
        <family val="2"/>
      </rPr>
      <t>EP01206</t>
    </r>
  </si>
  <si>
    <r>
      <rPr>
        <sz val="8"/>
        <rFont val="Arial"/>
        <family val="2"/>
      </rPr>
      <t>EP01207</t>
    </r>
  </si>
  <si>
    <r>
      <rPr>
        <sz val="8"/>
        <rFont val="Arial"/>
        <family val="2"/>
      </rPr>
      <t>EP01208</t>
    </r>
  </si>
  <si>
    <r>
      <rPr>
        <sz val="8"/>
        <rFont val="Arial"/>
        <family val="2"/>
      </rPr>
      <t>EP01209</t>
    </r>
  </si>
  <si>
    <r>
      <rPr>
        <sz val="8"/>
        <rFont val="Arial"/>
        <family val="2"/>
      </rPr>
      <t>EP01416</t>
    </r>
  </si>
  <si>
    <r>
      <rPr>
        <u/>
        <sz val="9"/>
        <rFont val="Arial"/>
        <family val="2"/>
      </rPr>
      <t>LABORATORIO DE ESTRUCTURAS ANATOMICAS</t>
    </r>
  </si>
  <si>
    <r>
      <rPr>
        <sz val="9"/>
        <rFont val="Arial"/>
        <family val="2"/>
      </rPr>
      <t>P.T.B. ENFERMERIA GENERAL</t>
    </r>
  </si>
  <si>
    <r>
      <rPr>
        <sz val="8"/>
        <rFont val="Arial"/>
        <family val="2"/>
      </rPr>
      <t>MODELO  DE CABEZA</t>
    </r>
  </si>
  <si>
    <r>
      <rPr>
        <sz val="8"/>
        <rFont val="Arial"/>
        <family val="2"/>
      </rPr>
      <t>SIMULADOR PARA CUIDADO GENERAL DE PACIENTES</t>
    </r>
  </si>
  <si>
    <r>
      <rPr>
        <sz val="8"/>
        <rFont val="Arial"/>
        <family val="2"/>
      </rPr>
      <t>CUADRO CON LA ARTICULACION DE LA CADERA</t>
    </r>
  </si>
  <si>
    <r>
      <rPr>
        <sz val="8"/>
        <rFont val="Arial"/>
        <family val="2"/>
      </rPr>
      <t>MODELO DE PERINE FEMENINO</t>
    </r>
  </si>
  <si>
    <t>CATÁLOGO DE GUIAS DE EQUIPAMIENTO</t>
  </si>
  <si>
    <r>
      <t xml:space="preserve">Clave: </t>
    </r>
    <r>
      <rPr>
        <sz val="11"/>
        <rFont val="Arial"/>
        <family val="2"/>
      </rPr>
      <t>13</t>
    </r>
  </si>
  <si>
    <r>
      <rPr>
        <sz val="8"/>
        <rFont val="Arial"/>
        <family val="2"/>
      </rPr>
      <t>EP01421</t>
    </r>
  </si>
  <si>
    <r>
      <rPr>
        <sz val="8"/>
        <rFont val="Arial"/>
        <family val="2"/>
      </rPr>
      <t>EP01423</t>
    </r>
  </si>
  <si>
    <r>
      <rPr>
        <sz val="8"/>
        <rFont val="Arial"/>
        <family val="2"/>
      </rPr>
      <t>MODELO DE NARIZ</t>
    </r>
  </si>
  <si>
    <r>
      <rPr>
        <sz val="8"/>
        <rFont val="Arial"/>
        <family val="2"/>
      </rPr>
      <t>EP10089</t>
    </r>
  </si>
  <si>
    <r>
      <rPr>
        <sz val="8"/>
        <rFont val="Arial"/>
        <family val="2"/>
      </rPr>
      <t>EP01225</t>
    </r>
  </si>
  <si>
    <r>
      <rPr>
        <sz val="8"/>
        <rFont val="Arial"/>
        <family val="2"/>
      </rPr>
      <t>MT00053</t>
    </r>
  </si>
  <si>
    <r>
      <rPr>
        <b/>
        <sz val="8"/>
        <rFont val="Arial"/>
        <family val="2"/>
      </rPr>
      <t>Estimado en dólares</t>
    </r>
  </si>
  <si>
    <t>LABORATORIO DE ESTRUCTURAS ANATÓMICAS</t>
  </si>
  <si>
    <t>SIMULADOR PARA PALPACIÓN DE PECHOS O MAMAS</t>
  </si>
  <si>
    <t>MODELO PARA PALPACIÓN Y MANIOBRAS DE LEOPOLD</t>
  </si>
  <si>
    <t>SIMULADOR AVANZADO PARA CATETERIZACIÓN DE PACIENTES FEMENINOS Y MASCULINOS</t>
  </si>
  <si>
    <t>SIMULADOR PARA DIALISÍS PERITONEAL AMBULATORIA</t>
  </si>
  <si>
    <t>TORAX SIMULADOR PARA MANEJO DE VÍAS CENTRALES Y PERIFERICAS</t>
  </si>
  <si>
    <t>MANIQUI PARA REANIMACIÓN CARDIOPULMONAR</t>
  </si>
  <si>
    <t>MODELO DE 3 PIEZAS DE RIÑÓN, NEFRONA Y GLOMERULO</t>
  </si>
  <si>
    <t>MODELO DEL HÍGADO</t>
  </si>
  <si>
    <t>CUADRO CON ARTICULACIÓN DE LA RODILLA</t>
  </si>
  <si>
    <t>CUADRO CON ARTICULACIÓN DE LA MANO</t>
  </si>
  <si>
    <t>CUADRO CON ARTICULACIÓN DEL CODO</t>
  </si>
  <si>
    <t>CUADRO CON ARTICULACIÓN DE PIE NORMAL</t>
  </si>
  <si>
    <t>CUADRO CON ARTICULACIÓN DEL HOMBRO</t>
  </si>
  <si>
    <t>MODELO ANATOMICO DE ARTICULACIÓN</t>
  </si>
  <si>
    <t>MODELO DE TORSO  CON MÚSCULOS</t>
  </si>
  <si>
    <r>
      <rPr>
        <b/>
        <sz val="9"/>
        <rFont val="Arial"/>
        <family val="2"/>
      </rPr>
      <t>Guía:</t>
    </r>
  </si>
  <si>
    <r>
      <rPr>
        <b/>
        <sz val="9"/>
        <rFont val="Arial"/>
        <family val="2"/>
      </rPr>
      <t>Carrera:</t>
    </r>
  </si>
  <si>
    <r>
      <rPr>
        <b/>
        <sz val="8"/>
        <rFont val="Arial"/>
        <family val="2"/>
      </rPr>
      <t>CLAVE</t>
    </r>
  </si>
  <si>
    <r>
      <rPr>
        <b/>
        <sz val="8"/>
        <rFont val="Arial"/>
        <family val="2"/>
      </rPr>
      <t>CANT</t>
    </r>
  </si>
  <si>
    <r>
      <rPr>
        <b/>
        <sz val="8"/>
        <rFont val="Arial"/>
        <family val="2"/>
      </rPr>
      <t>COSTO</t>
    </r>
  </si>
  <si>
    <r>
      <rPr>
        <b/>
        <sz val="8"/>
        <rFont val="Arial"/>
        <family val="2"/>
      </rPr>
      <t>TOTAL</t>
    </r>
  </si>
  <si>
    <r>
      <rPr>
        <sz val="8"/>
        <rFont val="Arial"/>
        <family val="2"/>
      </rPr>
      <t>EP00963</t>
    </r>
  </si>
  <si>
    <r>
      <rPr>
        <sz val="8"/>
        <rFont val="Arial"/>
        <family val="2"/>
      </rPr>
      <t>EP10065</t>
    </r>
  </si>
  <si>
    <r>
      <rPr>
        <sz val="8"/>
        <rFont val="Arial"/>
        <family val="2"/>
      </rPr>
      <t>EP00324</t>
    </r>
  </si>
  <si>
    <r>
      <rPr>
        <sz val="8"/>
        <rFont val="Arial"/>
        <family val="2"/>
      </rPr>
      <t>EP00055</t>
    </r>
  </si>
  <si>
    <r>
      <rPr>
        <sz val="8"/>
        <rFont val="Arial"/>
        <family val="2"/>
      </rPr>
      <t>EG00001</t>
    </r>
  </si>
  <si>
    <r>
      <rPr>
        <sz val="8"/>
        <rFont val="Arial"/>
        <family val="2"/>
      </rPr>
      <t>EG00018</t>
    </r>
  </si>
  <si>
    <r>
      <rPr>
        <sz val="8"/>
        <rFont val="Arial"/>
        <family val="2"/>
      </rPr>
      <t>EP01222</t>
    </r>
  </si>
  <si>
    <r>
      <rPr>
        <sz val="8"/>
        <rFont val="Arial"/>
        <family val="2"/>
      </rPr>
      <t>EP01223</t>
    </r>
  </si>
  <si>
    <r>
      <rPr>
        <sz val="8"/>
        <rFont val="Arial"/>
        <family val="2"/>
      </rPr>
      <t>ENP0520</t>
    </r>
  </si>
  <si>
    <r>
      <rPr>
        <sz val="8"/>
        <rFont val="Arial"/>
        <family val="2"/>
      </rPr>
      <t>MP10012</t>
    </r>
  </si>
  <si>
    <r>
      <rPr>
        <sz val="8"/>
        <rFont val="Arial"/>
        <family val="2"/>
      </rPr>
      <t>MP00021</t>
    </r>
  </si>
  <si>
    <r>
      <rPr>
        <sz val="8"/>
        <rFont val="Arial"/>
        <family val="2"/>
      </rPr>
      <t>EP00120</t>
    </r>
  </si>
  <si>
    <r>
      <rPr>
        <sz val="8"/>
        <rFont val="Arial"/>
        <family val="2"/>
      </rPr>
      <t>ENP0519</t>
    </r>
  </si>
  <si>
    <r>
      <rPr>
        <sz val="8"/>
        <rFont val="Arial"/>
        <family val="2"/>
      </rPr>
      <t>EP00642</t>
    </r>
  </si>
  <si>
    <r>
      <rPr>
        <sz val="8"/>
        <rFont val="Arial"/>
        <family val="2"/>
      </rPr>
      <t>EG00007</t>
    </r>
  </si>
  <si>
    <r>
      <rPr>
        <sz val="8"/>
        <rFont val="Arial"/>
        <family val="2"/>
      </rPr>
      <t>EP00297</t>
    </r>
  </si>
  <si>
    <r>
      <rPr>
        <sz val="8"/>
        <rFont val="Arial"/>
        <family val="2"/>
      </rPr>
      <t>EP00241</t>
    </r>
  </si>
  <si>
    <r>
      <rPr>
        <sz val="8"/>
        <rFont val="Arial"/>
        <family val="2"/>
      </rPr>
      <t>ENP0524</t>
    </r>
  </si>
  <si>
    <r>
      <rPr>
        <sz val="8"/>
        <rFont val="Arial"/>
        <family val="2"/>
      </rPr>
      <t>ENP0518</t>
    </r>
  </si>
  <si>
    <r>
      <rPr>
        <sz val="8"/>
        <rFont val="Arial"/>
        <family val="2"/>
      </rPr>
      <t>ENP0521</t>
    </r>
  </si>
  <si>
    <r>
      <rPr>
        <sz val="8"/>
        <rFont val="Arial"/>
        <family val="2"/>
      </rPr>
      <t>EP00198</t>
    </r>
  </si>
  <si>
    <r>
      <rPr>
        <sz val="8"/>
        <rFont val="Arial"/>
        <family val="2"/>
      </rPr>
      <t>HP00007</t>
    </r>
  </si>
  <si>
    <r>
      <rPr>
        <sz val="8"/>
        <rFont val="Arial"/>
        <family val="2"/>
      </rPr>
      <t>EP00315</t>
    </r>
  </si>
  <si>
    <r>
      <rPr>
        <sz val="8"/>
        <rFont val="Arial"/>
        <family val="2"/>
      </rPr>
      <t>EP00339</t>
    </r>
  </si>
  <si>
    <r>
      <rPr>
        <sz val="8"/>
        <rFont val="Arial"/>
        <family val="2"/>
      </rPr>
      <t>HORNO ESTERILIZADOR DE INSTRUMENTAL</t>
    </r>
  </si>
  <si>
    <r>
      <rPr>
        <sz val="8"/>
        <rFont val="Arial"/>
        <family val="2"/>
      </rPr>
      <t>EP00345</t>
    </r>
  </si>
  <si>
    <r>
      <rPr>
        <sz val="8"/>
        <rFont val="Arial"/>
        <family val="2"/>
      </rPr>
      <t>EP00351</t>
    </r>
  </si>
  <si>
    <r>
      <rPr>
        <sz val="8"/>
        <rFont val="Arial"/>
        <family val="2"/>
      </rPr>
      <t>EP00819</t>
    </r>
  </si>
  <si>
    <r>
      <rPr>
        <sz val="8"/>
        <rFont val="Arial"/>
        <family val="2"/>
      </rPr>
      <t>EP01134</t>
    </r>
  </si>
  <si>
    <r>
      <rPr>
        <sz val="8"/>
        <rFont val="Arial"/>
        <family val="2"/>
      </rPr>
      <t>EP01219</t>
    </r>
  </si>
  <si>
    <r>
      <rPr>
        <sz val="8"/>
        <rFont val="Arial"/>
        <family val="2"/>
      </rPr>
      <t>EP01407</t>
    </r>
  </si>
  <si>
    <r>
      <rPr>
        <sz val="8"/>
        <rFont val="Arial"/>
        <family val="2"/>
      </rPr>
      <t>EP01224</t>
    </r>
  </si>
  <si>
    <r>
      <rPr>
        <sz val="8"/>
        <rFont val="Arial"/>
        <family val="2"/>
      </rPr>
      <t>EP10064</t>
    </r>
  </si>
  <si>
    <r>
      <rPr>
        <sz val="8"/>
        <rFont val="Arial"/>
        <family val="2"/>
      </rPr>
      <t>EG00005</t>
    </r>
  </si>
  <si>
    <r>
      <rPr>
        <sz val="8"/>
        <rFont val="Arial"/>
        <family val="2"/>
      </rPr>
      <t>EG00008</t>
    </r>
  </si>
  <si>
    <r>
      <rPr>
        <sz val="8"/>
        <rFont val="Arial"/>
        <family val="2"/>
      </rPr>
      <t>EG00009</t>
    </r>
  </si>
  <si>
    <r>
      <rPr>
        <sz val="8"/>
        <rFont val="Arial"/>
        <family val="2"/>
      </rPr>
      <t>EG00019</t>
    </r>
  </si>
  <si>
    <r>
      <rPr>
        <sz val="8"/>
        <rFont val="Arial"/>
        <family val="2"/>
      </rPr>
      <t>EG00023</t>
    </r>
  </si>
  <si>
    <r>
      <rPr>
        <sz val="8"/>
        <rFont val="Arial"/>
        <family val="2"/>
      </rPr>
      <t>EP00075</t>
    </r>
  </si>
  <si>
    <r>
      <rPr>
        <sz val="8"/>
        <rFont val="Arial"/>
        <family val="2"/>
      </rPr>
      <t>EP00092</t>
    </r>
  </si>
  <si>
    <r>
      <rPr>
        <sz val="8"/>
        <rFont val="Arial"/>
        <family val="2"/>
      </rPr>
      <t>EG00024</t>
    </r>
  </si>
  <si>
    <r>
      <rPr>
        <sz val="8"/>
        <rFont val="Arial"/>
        <family val="2"/>
      </rPr>
      <t>ENP0522</t>
    </r>
  </si>
  <si>
    <r>
      <rPr>
        <sz val="8"/>
        <rFont val="Arial"/>
        <family val="2"/>
      </rPr>
      <t>ENP0523</t>
    </r>
  </si>
  <si>
    <r>
      <rPr>
        <sz val="8"/>
        <rFont val="Arial"/>
        <family val="2"/>
      </rPr>
      <t>LAVAMANOS QUIRURGICO</t>
    </r>
  </si>
  <si>
    <r>
      <rPr>
        <sz val="8"/>
        <rFont val="Arial"/>
        <family val="2"/>
      </rPr>
      <t>ES00059</t>
    </r>
  </si>
  <si>
    <r>
      <rPr>
        <sz val="8"/>
        <rFont val="Arial"/>
        <family val="2"/>
      </rPr>
      <t>MG00025</t>
    </r>
  </si>
  <si>
    <r>
      <rPr>
        <sz val="8"/>
        <rFont val="Arial"/>
        <family val="2"/>
      </rPr>
      <t>VITRINA</t>
    </r>
  </si>
  <si>
    <r>
      <rPr>
        <sz val="8"/>
        <rFont val="Arial"/>
        <family val="2"/>
      </rPr>
      <t>MM00046</t>
    </r>
  </si>
  <si>
    <r>
      <rPr>
        <sz val="8"/>
        <rFont val="Arial"/>
        <family val="2"/>
      </rPr>
      <t>MM00058</t>
    </r>
  </si>
  <si>
    <r>
      <rPr>
        <sz val="8"/>
        <rFont val="Arial"/>
        <family val="2"/>
      </rPr>
      <t>SILLA DE RUEDAS</t>
    </r>
  </si>
  <si>
    <r>
      <rPr>
        <sz val="8"/>
        <rFont val="Arial"/>
        <family val="2"/>
      </rPr>
      <t>MT00028</t>
    </r>
  </si>
  <si>
    <r>
      <rPr>
        <sz val="8"/>
        <rFont val="Arial"/>
        <family val="2"/>
      </rPr>
      <t>MT00035</t>
    </r>
  </si>
  <si>
    <r>
      <rPr>
        <sz val="8"/>
        <rFont val="Arial"/>
        <family val="2"/>
      </rPr>
      <t>MT00036</t>
    </r>
  </si>
  <si>
    <r>
      <rPr>
        <sz val="8"/>
        <rFont val="Arial"/>
        <family val="2"/>
      </rPr>
      <t>MESA MAYO</t>
    </r>
  </si>
  <si>
    <r>
      <rPr>
        <b/>
        <sz val="9"/>
        <color rgb="FF000000"/>
        <rFont val="Arial"/>
        <family val="2"/>
      </rPr>
      <t xml:space="preserve">Clave: </t>
    </r>
    <r>
      <rPr>
        <sz val="9"/>
        <color rgb="FF000000"/>
        <rFont val="Arial"/>
        <family val="2"/>
      </rPr>
      <t>100</t>
    </r>
  </si>
  <si>
    <r>
      <t xml:space="preserve">Clave: </t>
    </r>
    <r>
      <rPr>
        <sz val="11"/>
        <rFont val="Arial"/>
        <family val="2"/>
      </rPr>
      <t>100</t>
    </r>
  </si>
  <si>
    <t>PIZARRÓN MAGNETICO</t>
  </si>
  <si>
    <t>MESA DE EXPLORACIÓN</t>
  </si>
  <si>
    <t>LAB.DE TÉCNICAS DE ENFERMERÍA Y PRÁCTICAS DE SALUD COMUNITARIA.</t>
  </si>
  <si>
    <r>
      <rPr>
        <sz val="8"/>
        <rFont val="Arial"/>
        <family val="2"/>
      </rPr>
      <t>EP00536</t>
    </r>
  </si>
  <si>
    <r>
      <rPr>
        <sz val="8"/>
        <rFont val="Arial"/>
        <family val="2"/>
      </rPr>
      <t>EP02765</t>
    </r>
  </si>
  <si>
    <r>
      <rPr>
        <sz val="8"/>
        <rFont val="Arial"/>
        <family val="2"/>
      </rPr>
      <t>IMPRESORA LÁSER</t>
    </r>
  </si>
  <si>
    <r>
      <rPr>
        <sz val="8"/>
        <rFont val="Arial"/>
        <family val="2"/>
      </rPr>
      <t>EP34130</t>
    </r>
  </si>
  <si>
    <r>
      <rPr>
        <sz val="8"/>
        <rFont val="Arial"/>
        <family val="2"/>
      </rPr>
      <t>ENP0027</t>
    </r>
  </si>
  <si>
    <r>
      <rPr>
        <sz val="8"/>
        <rFont val="Arial"/>
        <family val="2"/>
      </rPr>
      <t>ENP0080</t>
    </r>
  </si>
  <si>
    <r>
      <rPr>
        <sz val="8"/>
        <rFont val="Arial"/>
        <family val="2"/>
      </rPr>
      <t>ENP0081</t>
    </r>
  </si>
  <si>
    <r>
      <rPr>
        <sz val="8"/>
        <rFont val="Arial"/>
        <family val="2"/>
      </rPr>
      <t>SISTEMA DE CONTABILIDAD (COI) **</t>
    </r>
  </si>
  <si>
    <r>
      <rPr>
        <sz val="8"/>
        <rFont val="Arial"/>
        <family val="2"/>
      </rPr>
      <t>ENP0082</t>
    </r>
  </si>
  <si>
    <r>
      <rPr>
        <sz val="8"/>
        <rFont val="Arial"/>
        <family val="2"/>
      </rPr>
      <t>SISTEMA DE NOMINA INTEGRAL (NOI) **</t>
    </r>
  </si>
  <si>
    <r>
      <t>Clave:</t>
    </r>
    <r>
      <rPr>
        <sz val="10"/>
        <rFont val="Arial"/>
        <family val="2"/>
      </rPr>
      <t xml:space="preserve"> 504</t>
    </r>
  </si>
  <si>
    <t>TALLER DE CAPACITACIÓN ADMINISTRATIVA II</t>
  </si>
  <si>
    <t>P.T.B EN ADMINISTRACIÓN</t>
  </si>
  <si>
    <t>LABORATORIO DE INFORMÁTICA EN RED</t>
  </si>
  <si>
    <t>P.T.B. EN INFORMÁTICA</t>
  </si>
  <si>
    <t>B</t>
  </si>
  <si>
    <t>R</t>
  </si>
  <si>
    <t>M</t>
  </si>
  <si>
    <t>INVENTARIO EN PLANTEL</t>
  </si>
  <si>
    <t>CANT. REAL</t>
  </si>
  <si>
    <t>CONDICIONES DEL EQUIPO</t>
  </si>
  <si>
    <t xml:space="preserve">ÚLTIMA FECHA DE MANTENIMIENTO </t>
  </si>
  <si>
    <t xml:space="preserve">No. EQUIPO NECESARIO </t>
  </si>
  <si>
    <t>ALUMOS POR EQUIPO</t>
  </si>
  <si>
    <t>COSTO DE INVERSIÓN</t>
  </si>
  <si>
    <t>OBSOLETO</t>
  </si>
  <si>
    <t>SI</t>
  </si>
  <si>
    <t>NO</t>
  </si>
  <si>
    <t>AÑO DE ADQUISICION</t>
  </si>
  <si>
    <t>COLEGIO DE EDUCACIÓN PROFESIONAL TÉCNICA DEL ESTADO DE VERACRUZ</t>
  </si>
  <si>
    <t>COLEGIO DE EDUCACIÓN PROFESIONAL TÉCNICADEL ESTADO DE VERACRUZ</t>
  </si>
  <si>
    <t>ENTRENADOR PARA APLICACIÓN DE INYECCIONES INTRAMUSCULARES</t>
  </si>
  <si>
    <t>MANIQUI DE RECIEN NACIDO</t>
  </si>
  <si>
    <t>MODELO DE MANDIBULA</t>
  </si>
  <si>
    <t>MODELO DESMONTABLE DE OJO</t>
  </si>
  <si>
    <t>MODELO DE CREANEO HUMANO CON 68 DIF. PARTES</t>
  </si>
  <si>
    <t>BOTIQUÍN</t>
  </si>
  <si>
    <t>SILLA APILABLE</t>
  </si>
  <si>
    <t>ESFINGNOMANOMETRO</t>
  </si>
  <si>
    <t>BALANZA ELECTRONICA DIGITAL</t>
  </si>
  <si>
    <t>EQUIPO DE CIRUGIA MENOR</t>
  </si>
  <si>
    <t>MONITOR DE SIGNOS VITALES</t>
  </si>
  <si>
    <t>BOMBA DE INFUSIÓN</t>
  </si>
  <si>
    <t>TOCOCARDIOGRAFO</t>
  </si>
  <si>
    <t>LAMPARA AUXILIR PARA QUIRÓFANO</t>
  </si>
  <si>
    <t>NO APLICA</t>
  </si>
  <si>
    <t>X</t>
  </si>
  <si>
    <t>IMPRESORA LASSER MONOCROMATICA</t>
  </si>
  <si>
    <t>TOTAL EN PESOS MX</t>
  </si>
  <si>
    <t xml:space="preserve">TOTAL </t>
  </si>
  <si>
    <t>PESOS MX</t>
  </si>
  <si>
    <t>MULTIFUNCIONAL (INYECCION DE TINTA)</t>
  </si>
  <si>
    <t>NO BREAK CON REGULADOR INTEGRADO</t>
  </si>
  <si>
    <t>SOPLADOR (BLOWER)</t>
  </si>
  <si>
    <t>KIT DE COMPONENTES PARA ENSAMBLE Y ACTUALIZACION DE EQUIPO DE COMPUTO</t>
  </si>
  <si>
    <t>MULTIMETRO DIGITAL</t>
  </si>
  <si>
    <t>KIT DE HERRAMIENTAS PARA SERVICIO DE INFORMÁTICA</t>
  </si>
  <si>
    <t>EXTINGUIDOR DE PARED</t>
  </si>
  <si>
    <t>MESA PARA MAESTRO</t>
  </si>
  <si>
    <t>MESA PARA LABORATORIO DE INFORMATICA</t>
  </si>
  <si>
    <t>SILLA TIPO SECRETARIAL</t>
  </si>
  <si>
    <t>CREDENZA</t>
  </si>
  <si>
    <t>ESTANTE METALICO</t>
  </si>
  <si>
    <t>PINTARRON</t>
  </si>
  <si>
    <t>DIGNÓSTICO DE EQUIPAMIENTO</t>
  </si>
  <si>
    <t>NUMERO</t>
  </si>
  <si>
    <t>RACK</t>
  </si>
  <si>
    <t xml:space="preserve"> SWITCH</t>
  </si>
  <si>
    <t xml:space="preserve"> HUB</t>
  </si>
  <si>
    <t xml:space="preserve">ROUTER </t>
  </si>
  <si>
    <t xml:space="preserve">PANEL PARA CONEXIÓN POR HILOS </t>
  </si>
  <si>
    <t>ADAPTADORES DE RED Y ANTENA UNIDIRECCION Y UNA BIDIRECCIONAL (SECTORIALES)</t>
  </si>
  <si>
    <t>ACCESS POINT PARA INTERIORES Y EXTERIORES</t>
  </si>
  <si>
    <t>INSUMOS DE LA NUBE</t>
  </si>
  <si>
    <t>DOMINIO PROPIO DEL PLANTEL, HOSPEDAJE</t>
  </si>
  <si>
    <t>KIT DE SOLDAURA DE ESTAÑO (QUE INCLUYA EXTRACTOR DE SOLDADURA)</t>
  </si>
  <si>
    <t>VIDEO PROYECTOR</t>
  </si>
  <si>
    <t>ORGANIZADORES DE PIEZAS</t>
  </si>
  <si>
    <t>BALANCEADOR DE CARGAS DE INTERNET</t>
  </si>
  <si>
    <t>ESQUELETO DEL CUERPO HUMANO ADULTO</t>
  </si>
  <si>
    <t>SIMULADOR AVANZADO PARA CUIDADO DE PACIENTES</t>
  </si>
  <si>
    <t>BRAZO PARA ENTRENAMIENTO VENOSO MULTIPROPÓSITO</t>
  </si>
  <si>
    <t>SIMULADOR PARA APLICACIÓN DE ENEMA</t>
  </si>
  <si>
    <t>SIMULADOR AVANZADO DE ALUMBRAMIENTO</t>
  </si>
  <si>
    <t>SIMULADOR INTERACTIVO DE PARTO</t>
  </si>
  <si>
    <t>CUADRO CON CORTES DE DIF/HUESOS HUMANOS</t>
  </si>
  <si>
    <t>MODELO DE COLUMNA VERTEBRAL</t>
  </si>
  <si>
    <t>MODELO EN RELIEVE CON SISTEMA NERVIOSO CENTRAL Y PERIFERICO</t>
  </si>
  <si>
    <t>MODELO DEL APARATO DIGESTIVO</t>
  </si>
  <si>
    <t>MODELO DE APARATO URINARIO</t>
  </si>
  <si>
    <t>MODELO DE PLASTICO DE CORAZON CON ARTERIAS</t>
  </si>
  <si>
    <t>MODELO DE CORTE SAGITAL DE PELVIS</t>
  </si>
  <si>
    <t>MODELO DE SISTEMA CIRCULATORIO</t>
  </si>
  <si>
    <t>MODELO DE MAXILAR INFERIOR</t>
  </si>
  <si>
    <t>MODELO DE CEREBRO Y AREA CERVICAL</t>
  </si>
  <si>
    <t>MODELO DE PERINE MASCULINO</t>
  </si>
  <si>
    <t>MODELO DE APARATO AUDITIVO</t>
  </si>
  <si>
    <t>MODELO DE PULMONES CON CORAZON</t>
  </si>
  <si>
    <t>MODELO DE CARA Y CUELLO</t>
  </si>
  <si>
    <t>MODELO DE LARINGE CON ARBOL BRONQUIAL</t>
  </si>
  <si>
    <t>MODELO DE CORTE TRANSVERSAL DE PIEL</t>
  </si>
  <si>
    <t>MODELO CON RELIEVE SENTIDO DEL OLFATO</t>
  </si>
  <si>
    <t>MODELO DE APARATO RESPIRATORIO</t>
  </si>
  <si>
    <t>MODELO DE PELVIS DINAMICA DE PARTO</t>
  </si>
  <si>
    <t>MESA PARA LABORATORIO DE ANATOMIA</t>
  </si>
  <si>
    <t>BANCO TIPO DIBUJANTE</t>
  </si>
  <si>
    <t>TOTAL DE PESOS MX</t>
  </si>
  <si>
    <t>PELVIMETRO</t>
  </si>
  <si>
    <t>EQUIPO DE ROPA PARA CIRUJANO</t>
  </si>
  <si>
    <t>JUEGO DE SABANAS DE QUIROFANO Y CAMPO OBSTETRICIA</t>
  </si>
  <si>
    <t>BAÑERA PEDIATRICA</t>
  </si>
  <si>
    <t>BAUMANOMETRO ANEROIDE</t>
  </si>
  <si>
    <t>EQUIPO PARA OXIGENO</t>
  </si>
  <si>
    <t>CARRO PARA TRANSPORTAR CURACIONES</t>
  </si>
  <si>
    <t>ESTUCHE DE DIAGNOSTICO MEDICO</t>
  </si>
  <si>
    <t>CAMA CLINICA TIPO ALTA</t>
  </si>
  <si>
    <t>SISTEMA PLEUREVACK</t>
  </si>
  <si>
    <t>MANIQUÍ SIMULADOR PARA INTUBACIÓN ENDOTRAQUEAL PARA  ADULTO</t>
  </si>
  <si>
    <t>MODELO PROFESIONAL DE PIEL PARA LA PRÁCTICA DE SUTURAS E INCISIONES</t>
  </si>
  <si>
    <t>SIMULADOR COLOCACIÓN DE DISPOSITIVO INTRA UTERINO</t>
  </si>
  <si>
    <t>TERMOMETROS DIGITALES</t>
  </si>
  <si>
    <t>OXIMETRO</t>
  </si>
  <si>
    <t>MESA DE TRABAJO PARA EL AREA DE CEYE</t>
  </si>
  <si>
    <t>RELOJ DE PARED</t>
  </si>
  <si>
    <t>ESFINGOMANOMETRO DIGITAL</t>
  </si>
  <si>
    <t>AUTOCLAVE CILINDRICA VERTICAL</t>
  </si>
  <si>
    <t>ASPIRADOR ELECTRICO CLINICO</t>
  </si>
  <si>
    <t>RIÑON DE ACERO INOXIDABLE</t>
  </si>
  <si>
    <t>COMODO OVOIDE METALICO</t>
  </si>
  <si>
    <t>PATO ORINAL</t>
  </si>
  <si>
    <t>EQUIPO DE CURACION DE CATETER</t>
  </si>
  <si>
    <t>BASCULA PARA PESAR BEBES</t>
  </si>
  <si>
    <t>CUNA DE HOSPITAL</t>
  </si>
  <si>
    <t>MICROSCOPIO MONOCULAR</t>
  </si>
  <si>
    <t>FRASCO PARA TORUNDAS</t>
  </si>
  <si>
    <t>ELECTROCARDIOGRAFO</t>
  </si>
  <si>
    <t>CAMARA  DE  SEGURIDAD  BIOLOGICA  O  CABINA  DE  FLUJO  LAMINAR  CON FILTRO DE AIRE</t>
  </si>
  <si>
    <t>FETOSCOPIO O ULTRASONIDO DOOPLER</t>
  </si>
  <si>
    <t>CUNA PEDIATRICA DE CALOR RADIANTE</t>
  </si>
  <si>
    <t>ESTUCHE QUIRURGICO</t>
  </si>
  <si>
    <t>EQUIPO PARA PERINOGRAFIA Y LIGADORAS D/CORDON</t>
  </si>
  <si>
    <t>ESTETOSCOPIO</t>
  </si>
  <si>
    <t>TRIPIE PARA SUEROS</t>
  </si>
  <si>
    <t>CARRO PARA MEDICAMENTOS</t>
  </si>
  <si>
    <t>APARATO PARA MEDIR ALTURA Y POSICION DEL CUERPO 260 CMS</t>
  </si>
  <si>
    <t>EQUIPO DE ROPA PARA NIÑOS DE 1 A 3 MESES</t>
  </si>
  <si>
    <t>JUEGO DE ROPA PARA CAMA CLINICA, SABANAS, COBERTOR Y FUNDAS</t>
  </si>
  <si>
    <t>SABANA CLINICA</t>
  </si>
  <si>
    <t>TOALLA AFELPADA TAMAÑO MANOS</t>
  </si>
  <si>
    <t>TOALLA PARA BAÑO DE FRICCION TAMAÑO FACIL</t>
  </si>
  <si>
    <t>KIT DE INSTRUMENTAL</t>
  </si>
  <si>
    <t>MESA LATERAL PARA CAMA</t>
  </si>
  <si>
    <t>DIAGNÓSTICO DE EQUIPAMIENTO</t>
  </si>
  <si>
    <t>SIMULADOR DE VULVA PARA SUTURA</t>
  </si>
  <si>
    <t>LAB.DE TECNICAS DE ENFERM.Y PRACT. DE SALUD COMUNIT.</t>
  </si>
  <si>
    <t>CARRO ROJO</t>
  </si>
  <si>
    <t>DOSIFICADOR DE JABON CON SENSOR</t>
  </si>
  <si>
    <t>MAQUINA DE ESCRIBIR ELECTRÓNICA</t>
  </si>
  <si>
    <t>CALCULADORA FINANCIERA PORTÁTIL</t>
  </si>
  <si>
    <t>GRABADORA</t>
  </si>
  <si>
    <t>SISTEMA DE ADMINISTRACION EMPRESARIAL (SAE) **</t>
  </si>
  <si>
    <t>ESCRITORIO EJECUTIVO</t>
  </si>
  <si>
    <t>SILLON EJECUTIVO</t>
  </si>
  <si>
    <t>SILLA SECRETARIAL</t>
  </si>
  <si>
    <t>MESA REDONDA</t>
  </si>
  <si>
    <t>SILLAS ERGONOMICAS</t>
  </si>
  <si>
    <t>MICROFONO</t>
  </si>
  <si>
    <t>Desde la incorporación de la carrera de Administración a la oferta educativa del plantel, se ha carecido de un taller propio para la carrera, lo que ocasionado que los alumnos no tengan pertenencia a la misma. Para el montaje el taller se requiere desde la obra civil de adaptación del espacio seleccionado para este fin. Los docentes de la carrera hicieron el diagnóstico y proponen integrar al taller una pequeña sala de juntas, donde se pueden realizar los simuladores requeridos en los módulos que desarrollan habilidades interpersonales y de comunicación. De igual forma, requieren que la paquetería que tiene que ver con el sistema de administración empresarial, nómina y contabilidad, sea SAE, pues este software está alineado a las reformas fiscales actuales del país.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</si>
</sst>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11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7" fillId="0" borderId="0" applyFont="0" applyFill="0" applyBorder="0" applyAlignment="0" applyProtection="0"/>
  </cellStyleXfs>
  <cellXfs count="183">
    <xf numFmtId="0" fontId="0" fillId="0" borderId="0" xfId="0"/>
    <xf numFmtId="0" fontId="3" fillId="0" borderId="1" xfId="0" applyFont="1" applyBorder="1" applyAlignment="1">
      <alignment horizontal="left" vertical="top" wrapText="1" indent="1"/>
    </xf>
    <xf numFmtId="0" fontId="6" fillId="0" borderId="1" xfId="0" applyFont="1" applyBorder="1" applyAlignment="1">
      <alignment horizontal="left" vertical="top" wrapText="1" inden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left" wrapText="1"/>
    </xf>
    <xf numFmtId="0" fontId="7" fillId="0" borderId="1" xfId="0" applyFont="1" applyBorder="1" applyAlignment="1">
      <alignment horizontal="left" vertical="top" wrapText="1" indent="1"/>
    </xf>
    <xf numFmtId="0" fontId="7" fillId="0" borderId="1" xfId="0" applyFont="1" applyBorder="1" applyAlignment="1">
      <alignment horizontal="left" vertical="top" wrapText="1"/>
    </xf>
    <xf numFmtId="1" fontId="8" fillId="0" borderId="1" xfId="0" applyNumberFormat="1" applyFont="1" applyBorder="1" applyAlignment="1">
      <alignment horizontal="center" vertical="top" shrinkToFit="1"/>
    </xf>
    <xf numFmtId="1" fontId="8" fillId="0" borderId="1" xfId="0" applyNumberFormat="1" applyFont="1" applyBorder="1" applyAlignment="1">
      <alignment horizontal="right" vertical="top" shrinkToFit="1"/>
    </xf>
    <xf numFmtId="1" fontId="8" fillId="0" borderId="1" xfId="0" applyNumberFormat="1" applyFont="1" applyBorder="1" applyAlignment="1">
      <alignment horizontal="right" vertical="top" indent="1" shrinkToFit="1"/>
    </xf>
    <xf numFmtId="3" fontId="8" fillId="0" borderId="1" xfId="0" applyNumberFormat="1" applyFont="1" applyBorder="1" applyAlignment="1">
      <alignment horizontal="right" vertical="top" shrinkToFit="1"/>
    </xf>
    <xf numFmtId="3" fontId="8" fillId="0" borderId="1" xfId="0" applyNumberFormat="1" applyFont="1" applyBorder="1" applyAlignment="1">
      <alignment horizontal="right" vertical="top" indent="1" shrinkToFit="1"/>
    </xf>
    <xf numFmtId="1" fontId="5" fillId="0" borderId="1" xfId="0" applyNumberFormat="1" applyFont="1" applyBorder="1" applyAlignment="1">
      <alignment horizontal="center" vertical="top" shrinkToFit="1"/>
    </xf>
    <xf numFmtId="3" fontId="10" fillId="0" borderId="1" xfId="0" applyNumberFormat="1" applyFont="1" applyBorder="1" applyAlignment="1">
      <alignment horizontal="right" vertical="top" indent="1" shrinkToFit="1"/>
    </xf>
    <xf numFmtId="0" fontId="6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 indent="1"/>
    </xf>
    <xf numFmtId="0" fontId="3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3" fontId="8" fillId="0" borderId="1" xfId="0" applyNumberFormat="1" applyFont="1" applyBorder="1" applyAlignment="1">
      <alignment horizontal="center" vertical="top" shrinkToFit="1"/>
    </xf>
    <xf numFmtId="0" fontId="6" fillId="0" borderId="1" xfId="0" applyFont="1" applyBorder="1" applyAlignment="1">
      <alignment horizontal="right" vertical="top" wrapText="1" indent="1"/>
    </xf>
    <xf numFmtId="1" fontId="10" fillId="0" borderId="1" xfId="0" applyNumberFormat="1" applyFont="1" applyBorder="1" applyAlignment="1">
      <alignment horizontal="center" vertical="top" shrinkToFit="1"/>
    </xf>
    <xf numFmtId="0" fontId="9" fillId="0" borderId="1" xfId="0" applyFont="1" applyBorder="1" applyAlignment="1">
      <alignment horizontal="left" vertical="center" wrapText="1" indent="1"/>
    </xf>
    <xf numFmtId="0" fontId="9" fillId="0" borderId="1" xfId="0" applyFont="1" applyBorder="1" applyAlignment="1">
      <alignment vertical="center" wrapText="1"/>
    </xf>
    <xf numFmtId="1" fontId="8" fillId="0" borderId="1" xfId="0" applyNumberFormat="1" applyFont="1" applyBorder="1" applyAlignment="1">
      <alignment vertical="top" shrinkToFit="1"/>
    </xf>
    <xf numFmtId="3" fontId="8" fillId="0" borderId="1" xfId="0" applyNumberFormat="1" applyFont="1" applyBorder="1" applyAlignment="1">
      <alignment vertical="top" shrinkToFi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7" fillId="3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" fontId="5" fillId="0" borderId="1" xfId="0" applyNumberFormat="1" applyFont="1" applyBorder="1" applyAlignment="1">
      <alignment horizontal="center" vertical="top" shrinkToFit="1"/>
    </xf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3" xfId="0" applyBorder="1" applyAlignment="1">
      <alignment horizontal="right"/>
    </xf>
    <xf numFmtId="44" fontId="0" fillId="0" borderId="1" xfId="1" applyFont="1" applyBorder="1"/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top" shrinkToFit="1"/>
    </xf>
    <xf numFmtId="0" fontId="7" fillId="0" borderId="1" xfId="0" applyFont="1" applyFill="1" applyBorder="1" applyAlignment="1">
      <alignment horizontal="left" vertical="top" wrapText="1"/>
    </xf>
    <xf numFmtId="0" fontId="0" fillId="0" borderId="0" xfId="0" applyFill="1"/>
    <xf numFmtId="0" fontId="7" fillId="0" borderId="1" xfId="0" applyFont="1" applyFill="1" applyBorder="1" applyAlignment="1">
      <alignment horizontal="left" vertical="top" wrapText="1" indent="1"/>
    </xf>
    <xf numFmtId="0" fontId="7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3" fontId="8" fillId="0" borderId="1" xfId="0" applyNumberFormat="1" applyFont="1" applyBorder="1" applyAlignment="1">
      <alignment horizontal="center" vertical="center" shrinkToFit="1"/>
    </xf>
    <xf numFmtId="0" fontId="0" fillId="0" borderId="0" xfId="0" applyFill="1" applyAlignment="1">
      <alignment horizontal="center" vertical="center"/>
    </xf>
    <xf numFmtId="44" fontId="8" fillId="0" borderId="1" xfId="1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4" fontId="7" fillId="0" borderId="1" xfId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1" fontId="18" fillId="0" borderId="1" xfId="0" applyNumberFormat="1" applyFont="1" applyBorder="1" applyAlignment="1">
      <alignment horizontal="center"/>
    </xf>
    <xf numFmtId="17" fontId="18" fillId="0" borderId="1" xfId="0" applyNumberFormat="1" applyFont="1" applyBorder="1" applyAlignment="1">
      <alignment horizontal="center"/>
    </xf>
    <xf numFmtId="44" fontId="18" fillId="0" borderId="1" xfId="1" applyFont="1" applyBorder="1" applyAlignment="1">
      <alignment horizontal="center"/>
    </xf>
    <xf numFmtId="44" fontId="18" fillId="0" borderId="8" xfId="1" applyFont="1" applyBorder="1" applyAlignment="1">
      <alignment horizontal="center" vertical="center"/>
    </xf>
    <xf numFmtId="44" fontId="18" fillId="0" borderId="9" xfId="1" applyFont="1" applyBorder="1" applyAlignment="1">
      <alignment horizontal="center" vertical="center"/>
    </xf>
    <xf numFmtId="44" fontId="18" fillId="4" borderId="1" xfId="1" applyFont="1" applyFill="1" applyBorder="1" applyAlignment="1">
      <alignment horizontal="center"/>
    </xf>
    <xf numFmtId="44" fontId="1" fillId="0" borderId="0" xfId="0" applyNumberFormat="1" applyFont="1"/>
    <xf numFmtId="44" fontId="18" fillId="0" borderId="1" xfId="1" applyFont="1" applyBorder="1"/>
    <xf numFmtId="0" fontId="7" fillId="0" borderId="2" xfId="0" applyFont="1" applyBorder="1" applyAlignment="1">
      <alignment vertical="top" wrapText="1"/>
    </xf>
    <xf numFmtId="1" fontId="10" fillId="0" borderId="4" xfId="0" applyNumberFormat="1" applyFont="1" applyBorder="1" applyAlignment="1">
      <alignment horizontal="center" vertical="top" shrinkToFit="1"/>
    </xf>
    <xf numFmtId="3" fontId="8" fillId="0" borderId="4" xfId="0" applyNumberFormat="1" applyFont="1" applyBorder="1" applyAlignment="1">
      <alignment horizontal="center" vertical="top" shrinkToFit="1"/>
    </xf>
    <xf numFmtId="3" fontId="8" fillId="0" borderId="3" xfId="0" applyNumberFormat="1" applyFont="1" applyBorder="1" applyAlignment="1">
      <alignment horizontal="center" vertical="top" shrinkToFit="1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17" fontId="18" fillId="0" borderId="0" xfId="0" applyNumberFormat="1" applyFont="1" applyBorder="1" applyAlignment="1">
      <alignment horizontal="center"/>
    </xf>
    <xf numFmtId="1" fontId="18" fillId="0" borderId="0" xfId="0" applyNumberFormat="1" applyFont="1" applyBorder="1" applyAlignment="1">
      <alignment horizontal="center"/>
    </xf>
    <xf numFmtId="1" fontId="8" fillId="0" borderId="3" xfId="0" applyNumberFormat="1" applyFont="1" applyBorder="1" applyAlignment="1">
      <alignment horizontal="center" vertical="top" shrinkToFit="1"/>
    </xf>
    <xf numFmtId="0" fontId="18" fillId="0" borderId="0" xfId="0" applyFont="1" applyBorder="1"/>
    <xf numFmtId="0" fontId="18" fillId="0" borderId="1" xfId="0" applyFont="1" applyFill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9" fillId="0" borderId="4" xfId="0" applyFont="1" applyBorder="1" applyAlignment="1">
      <alignment horizontal="center"/>
    </xf>
    <xf numFmtId="0" fontId="0" fillId="0" borderId="0" xfId="0"/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 indent="1"/>
    </xf>
    <xf numFmtId="1" fontId="8" fillId="0" borderId="1" xfId="0" applyNumberFormat="1" applyFont="1" applyBorder="1" applyAlignment="1">
      <alignment horizontal="center" vertical="top" shrinkToFit="1"/>
    </xf>
    <xf numFmtId="1" fontId="8" fillId="0" borderId="1" xfId="0" applyNumberFormat="1" applyFont="1" applyBorder="1" applyAlignment="1">
      <alignment horizontal="right" vertical="top" indent="1" shrinkToFit="1"/>
    </xf>
    <xf numFmtId="0" fontId="6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 indent="1"/>
    </xf>
    <xf numFmtId="0" fontId="3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1" fontId="8" fillId="0" borderId="1" xfId="0" applyNumberFormat="1" applyFont="1" applyBorder="1" applyAlignment="1">
      <alignment vertical="top" shrinkToFit="1"/>
    </xf>
    <xf numFmtId="0" fontId="0" fillId="0" borderId="1" xfId="0" applyBorder="1"/>
    <xf numFmtId="0" fontId="0" fillId="0" borderId="1" xfId="0" applyBorder="1" applyAlignment="1">
      <alignment horizontal="center"/>
    </xf>
    <xf numFmtId="44" fontId="0" fillId="0" borderId="0" xfId="1" applyFont="1"/>
    <xf numFmtId="44" fontId="18" fillId="0" borderId="0" xfId="1" applyFont="1"/>
    <xf numFmtId="44" fontId="18" fillId="5" borderId="1" xfId="1" applyFont="1" applyFill="1" applyBorder="1"/>
    <xf numFmtId="0" fontId="18" fillId="0" borderId="1" xfId="0" applyFont="1" applyBorder="1" applyAlignment="1">
      <alignment horizontal="right"/>
    </xf>
    <xf numFmtId="0" fontId="19" fillId="0" borderId="10" xfId="0" applyFont="1" applyBorder="1" applyAlignment="1">
      <alignment horizontal="right"/>
    </xf>
    <xf numFmtId="0" fontId="19" fillId="0" borderId="11" xfId="0" applyFont="1" applyBorder="1" applyAlignment="1">
      <alignment horizontal="right"/>
    </xf>
    <xf numFmtId="0" fontId="19" fillId="0" borderId="11" xfId="0" applyFont="1" applyBorder="1" applyAlignment="1">
      <alignment horizontal="right"/>
    </xf>
    <xf numFmtId="44" fontId="18" fillId="0" borderId="11" xfId="1" applyFont="1" applyBorder="1" applyAlignment="1"/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/>
    </xf>
    <xf numFmtId="17" fontId="18" fillId="0" borderId="4" xfId="0" applyNumberFormat="1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top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0" fillId="0" borderId="0" xfId="0" applyBorder="1"/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44" fontId="0" fillId="0" borderId="1" xfId="1" applyFont="1" applyBorder="1" applyAlignment="1">
      <alignment horizontal="center"/>
    </xf>
    <xf numFmtId="44" fontId="1" fillId="0" borderId="1" xfId="0" applyNumberFormat="1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1" xfId="0" applyFill="1" applyBorder="1"/>
    <xf numFmtId="0" fontId="1" fillId="0" borderId="0" xfId="0" applyFont="1"/>
    <xf numFmtId="44" fontId="0" fillId="4" borderId="1" xfId="1" applyFont="1" applyFill="1" applyBorder="1"/>
    <xf numFmtId="44" fontId="20" fillId="0" borderId="1" xfId="1" applyFont="1" applyBorder="1"/>
    <xf numFmtId="44" fontId="8" fillId="0" borderId="1" xfId="1" applyFont="1" applyBorder="1" applyAlignment="1">
      <alignment horizontal="center" vertical="top" shrinkToFit="1"/>
    </xf>
    <xf numFmtId="44" fontId="21" fillId="0" borderId="0" xfId="1" applyFont="1"/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77</xdr:row>
      <xdr:rowOff>0</xdr:rowOff>
    </xdr:from>
    <xdr:to>
      <xdr:col>0</xdr:col>
      <xdr:colOff>12700</xdr:colOff>
      <xdr:row>85</xdr:row>
      <xdr:rowOff>64239</xdr:rowOff>
    </xdr:to>
    <xdr:grpSp>
      <xdr:nvGrpSpPr>
        <xdr:cNvPr id="26" name="Group 94">
          <a:extLst>
            <a:ext uri="{FF2B5EF4-FFF2-40B4-BE49-F238E27FC236}">
              <a16:creationId xmlns:a16="http://schemas.microsoft.com/office/drawing/2014/main" id="{C0D0FDD1-178B-454F-B5A4-7289359808E2}"/>
            </a:ext>
          </a:extLst>
        </xdr:cNvPr>
        <xdr:cNvGrpSpPr/>
      </xdr:nvGrpSpPr>
      <xdr:grpSpPr>
        <a:xfrm>
          <a:off x="0" y="14461435"/>
          <a:ext cx="12700" cy="1787021"/>
          <a:chOff x="0" y="0"/>
          <a:chExt cx="12700" cy="1624965"/>
        </a:xfrm>
      </xdr:grpSpPr>
      <xdr:pic>
        <xdr:nvPicPr>
          <xdr:cNvPr id="27" name="image23.png">
            <a:extLst>
              <a:ext uri="{FF2B5EF4-FFF2-40B4-BE49-F238E27FC236}">
                <a16:creationId xmlns:a16="http://schemas.microsoft.com/office/drawing/2014/main" id="{427C6C49-9E89-4545-A3C2-CDE0727DB46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12191" cy="929639"/>
          </a:xfrm>
          <a:prstGeom prst="rect">
            <a:avLst/>
          </a:prstGeom>
        </xdr:spPr>
      </xdr:pic>
      <xdr:pic>
        <xdr:nvPicPr>
          <xdr:cNvPr id="28" name="image24.png">
            <a:extLst>
              <a:ext uri="{FF2B5EF4-FFF2-40B4-BE49-F238E27FC236}">
                <a16:creationId xmlns:a16="http://schemas.microsoft.com/office/drawing/2014/main" id="{EA4DF4AB-C6A9-4EFD-8B59-19030FCA780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969263"/>
            <a:ext cx="12191" cy="237744"/>
          </a:xfrm>
          <a:prstGeom prst="rect">
            <a:avLst/>
          </a:prstGeom>
        </xdr:spPr>
      </xdr:pic>
      <xdr:pic>
        <xdr:nvPicPr>
          <xdr:cNvPr id="29" name="image25.png">
            <a:extLst>
              <a:ext uri="{FF2B5EF4-FFF2-40B4-BE49-F238E27FC236}">
                <a16:creationId xmlns:a16="http://schemas.microsoft.com/office/drawing/2014/main" id="{8475040C-F92C-412A-8380-4A804632FB5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1246631"/>
            <a:ext cx="12191" cy="237744"/>
          </a:xfrm>
          <a:prstGeom prst="rect">
            <a:avLst/>
          </a:prstGeom>
        </xdr:spPr>
      </xdr:pic>
      <xdr:pic>
        <xdr:nvPicPr>
          <xdr:cNvPr id="30" name="image26.png">
            <a:extLst>
              <a:ext uri="{FF2B5EF4-FFF2-40B4-BE49-F238E27FC236}">
                <a16:creationId xmlns:a16="http://schemas.microsoft.com/office/drawing/2014/main" id="{A3C3CC17-0175-4C93-A6C6-7E654C5D803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1524000"/>
            <a:ext cx="12191" cy="100584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12191</xdr:colOff>
      <xdr:row>77</xdr:row>
      <xdr:rowOff>100584</xdr:rowOff>
    </xdr:to>
    <xdr:pic>
      <xdr:nvPicPr>
        <xdr:cNvPr id="31" name="image27.png">
          <a:extLst>
            <a:ext uri="{FF2B5EF4-FFF2-40B4-BE49-F238E27FC236}">
              <a16:creationId xmlns:a16="http://schemas.microsoft.com/office/drawing/2014/main" id="{D2BBD028-07AB-4F18-B0A5-1034D11AB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191" cy="1005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12191</xdr:colOff>
      <xdr:row>77</xdr:row>
      <xdr:rowOff>100584</xdr:rowOff>
    </xdr:to>
    <xdr:pic>
      <xdr:nvPicPr>
        <xdr:cNvPr id="32" name="image26.png">
          <a:extLst>
            <a:ext uri="{FF2B5EF4-FFF2-40B4-BE49-F238E27FC236}">
              <a16:creationId xmlns:a16="http://schemas.microsoft.com/office/drawing/2014/main" id="{06674BCA-8D7F-43B3-B59E-FF3A4BD06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191" cy="1005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12191</xdr:colOff>
      <xdr:row>77</xdr:row>
      <xdr:rowOff>100584</xdr:rowOff>
    </xdr:to>
    <xdr:pic>
      <xdr:nvPicPr>
        <xdr:cNvPr id="33" name="image27.png">
          <a:extLst>
            <a:ext uri="{FF2B5EF4-FFF2-40B4-BE49-F238E27FC236}">
              <a16:creationId xmlns:a16="http://schemas.microsoft.com/office/drawing/2014/main" id="{CF402061-B834-49B4-8BD2-EB48288E52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191" cy="1005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12191</xdr:colOff>
      <xdr:row>83</xdr:row>
      <xdr:rowOff>9375</xdr:rowOff>
    </xdr:to>
    <xdr:pic>
      <xdr:nvPicPr>
        <xdr:cNvPr id="34" name="image28.png">
          <a:extLst>
            <a:ext uri="{FF2B5EF4-FFF2-40B4-BE49-F238E27FC236}">
              <a16:creationId xmlns:a16="http://schemas.microsoft.com/office/drawing/2014/main" id="{C52D4ADD-1B33-4740-8C76-B368E3496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191" cy="1221648"/>
        </a:xfrm>
        <a:prstGeom prst="rect">
          <a:avLst/>
        </a:prstGeom>
      </xdr:spPr>
    </xdr:pic>
    <xdr:clientData/>
  </xdr:twoCellAnchor>
  <xdr:twoCellAnchor editAs="oneCell">
    <xdr:from>
      <xdr:col>1</xdr:col>
      <xdr:colOff>1149985</xdr:colOff>
      <xdr:row>89</xdr:row>
      <xdr:rowOff>23784</xdr:rowOff>
    </xdr:from>
    <xdr:to>
      <xdr:col>1</xdr:col>
      <xdr:colOff>1195704</xdr:colOff>
      <xdr:row>89</xdr:row>
      <xdr:rowOff>93888</xdr:rowOff>
    </xdr:to>
    <xdr:pic>
      <xdr:nvPicPr>
        <xdr:cNvPr id="35" name="image10.png">
          <a:extLst>
            <a:ext uri="{FF2B5EF4-FFF2-40B4-BE49-F238E27FC236}">
              <a16:creationId xmlns:a16="http://schemas.microsoft.com/office/drawing/2014/main" id="{C42F4E90-692D-487D-8D62-14602C2E55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6260" y="2224059"/>
          <a:ext cx="45719" cy="701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9144</xdr:colOff>
      <xdr:row>81</xdr:row>
      <xdr:rowOff>14828</xdr:rowOff>
    </xdr:to>
    <xdr:pic>
      <xdr:nvPicPr>
        <xdr:cNvPr id="36" name="image29.png">
          <a:extLst>
            <a:ext uri="{FF2B5EF4-FFF2-40B4-BE49-F238E27FC236}">
              <a16:creationId xmlns:a16="http://schemas.microsoft.com/office/drawing/2014/main" id="{7249096F-099A-4A62-BDC3-37AC4C7B7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144" cy="81146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9144</xdr:colOff>
      <xdr:row>85</xdr:row>
      <xdr:rowOff>63858</xdr:rowOff>
    </xdr:to>
    <xdr:pic>
      <xdr:nvPicPr>
        <xdr:cNvPr id="37" name="image30.png">
          <a:extLst>
            <a:ext uri="{FF2B5EF4-FFF2-40B4-BE49-F238E27FC236}">
              <a16:creationId xmlns:a16="http://schemas.microsoft.com/office/drawing/2014/main" id="{79077B2E-4DD1-4F40-9FE7-E112CA9D4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144" cy="16571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opLeftCell="C13" zoomScaleNormal="100" zoomScaleSheetLayoutView="100" zoomScalePageLayoutView="70" workbookViewId="0">
      <selection activeCell="P23" sqref="P23"/>
    </sheetView>
  </sheetViews>
  <sheetFormatPr baseColWidth="10" defaultRowHeight="15" x14ac:dyDescent="0.25"/>
  <cols>
    <col min="2" max="2" width="28.28515625" customWidth="1"/>
    <col min="5" max="5" width="12.7109375" customWidth="1"/>
    <col min="6" max="6" width="16.140625" customWidth="1"/>
    <col min="7" max="9" width="11.5703125" bestFit="1" customWidth="1"/>
    <col min="10" max="10" width="15.42578125" style="34" customWidth="1"/>
    <col min="11" max="12" width="11.42578125" style="34"/>
    <col min="13" max="13" width="11.5703125" style="34" bestFit="1" customWidth="1"/>
    <col min="14" max="14" width="14.28515625" customWidth="1"/>
    <col min="15" max="15" width="14.42578125" customWidth="1"/>
    <col min="16" max="16" width="13.85546875" bestFit="1" customWidth="1"/>
  </cols>
  <sheetData>
    <row r="1" spans="1:16" ht="18" customHeight="1" x14ac:dyDescent="0.25">
      <c r="A1" s="45" t="s">
        <v>220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6" ht="15" customHeight="1" x14ac:dyDescent="0.25">
      <c r="A2" s="47" t="s">
        <v>45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pans="1:16" ht="24" customHeight="1" x14ac:dyDescent="0.25">
      <c r="A3" s="1" t="s">
        <v>2</v>
      </c>
      <c r="B3" s="39" t="s">
        <v>203</v>
      </c>
      <c r="C3" s="41"/>
      <c r="D3" s="37" t="s">
        <v>47</v>
      </c>
      <c r="E3" s="38"/>
      <c r="F3" s="53" t="s">
        <v>208</v>
      </c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16" x14ac:dyDescent="0.25">
      <c r="A4" s="1" t="s">
        <v>3</v>
      </c>
      <c r="B4" s="39" t="s">
        <v>204</v>
      </c>
      <c r="C4" s="40"/>
      <c r="D4" s="40"/>
      <c r="E4" s="41"/>
      <c r="F4" s="53" t="s">
        <v>209</v>
      </c>
      <c r="G4" s="54" t="s">
        <v>210</v>
      </c>
      <c r="H4" s="54"/>
      <c r="I4" s="54"/>
      <c r="J4" s="49" t="s">
        <v>218</v>
      </c>
      <c r="K4" s="51" t="s">
        <v>215</v>
      </c>
      <c r="L4" s="52"/>
      <c r="M4" s="55" t="s">
        <v>211</v>
      </c>
      <c r="N4" s="55" t="s">
        <v>213</v>
      </c>
      <c r="O4" s="55" t="s">
        <v>212</v>
      </c>
      <c r="P4" s="55" t="s">
        <v>214</v>
      </c>
    </row>
    <row r="5" spans="1:16" x14ac:dyDescent="0.25">
      <c r="A5" s="2" t="s">
        <v>4</v>
      </c>
      <c r="B5" s="3" t="s">
        <v>5</v>
      </c>
      <c r="C5" s="4" t="s">
        <v>35</v>
      </c>
      <c r="D5" s="5" t="s">
        <v>7</v>
      </c>
      <c r="E5" s="2" t="s">
        <v>8</v>
      </c>
      <c r="F5" s="53"/>
      <c r="G5" s="31" t="s">
        <v>205</v>
      </c>
      <c r="H5" s="31" t="s">
        <v>206</v>
      </c>
      <c r="I5" s="31" t="s">
        <v>207</v>
      </c>
      <c r="J5" s="50"/>
      <c r="K5" s="31" t="s">
        <v>216</v>
      </c>
      <c r="L5" s="31" t="s">
        <v>217</v>
      </c>
      <c r="M5" s="55"/>
      <c r="N5" s="55"/>
      <c r="O5" s="55"/>
      <c r="P5" s="55"/>
    </row>
    <row r="6" spans="1:16" x14ac:dyDescent="0.25">
      <c r="A6" s="42" t="s">
        <v>23</v>
      </c>
      <c r="B6" s="43"/>
      <c r="C6" s="43"/>
      <c r="D6" s="43"/>
      <c r="E6" s="44"/>
    </row>
    <row r="7" spans="1:16" ht="22.5" x14ac:dyDescent="0.25">
      <c r="A7" s="7" t="s">
        <v>36</v>
      </c>
      <c r="B7" s="8" t="s">
        <v>237</v>
      </c>
      <c r="C7" s="9">
        <v>1</v>
      </c>
      <c r="D7" s="10">
        <v>600</v>
      </c>
      <c r="E7" s="11">
        <v>600</v>
      </c>
      <c r="F7" s="98">
        <v>0</v>
      </c>
      <c r="G7" s="98">
        <v>0</v>
      </c>
      <c r="H7" s="98">
        <v>0</v>
      </c>
      <c r="I7" s="98">
        <v>0</v>
      </c>
      <c r="J7" s="97" t="s">
        <v>235</v>
      </c>
      <c r="K7" s="97"/>
      <c r="L7" s="97"/>
      <c r="M7" s="97" t="s">
        <v>235</v>
      </c>
      <c r="N7" s="98">
        <v>145</v>
      </c>
      <c r="O7" s="98">
        <v>5</v>
      </c>
      <c r="P7" s="106">
        <f>5*2200</f>
        <v>11000</v>
      </c>
    </row>
    <row r="8" spans="1:16" ht="22.5" x14ac:dyDescent="0.25">
      <c r="A8" s="7" t="s">
        <v>37</v>
      </c>
      <c r="B8" s="8" t="s">
        <v>241</v>
      </c>
      <c r="C8" s="9">
        <v>2</v>
      </c>
      <c r="D8" s="10">
        <v>400</v>
      </c>
      <c r="E8" s="11">
        <v>800</v>
      </c>
      <c r="F8" s="98">
        <v>0</v>
      </c>
      <c r="G8" s="98">
        <v>0</v>
      </c>
      <c r="H8" s="98">
        <v>0</v>
      </c>
      <c r="I8" s="98">
        <v>0</v>
      </c>
      <c r="J8" s="97" t="s">
        <v>235</v>
      </c>
      <c r="K8" s="97"/>
      <c r="L8" s="97"/>
      <c r="M8" s="97" t="s">
        <v>235</v>
      </c>
      <c r="N8" s="98">
        <v>145</v>
      </c>
      <c r="O8" s="98">
        <v>2</v>
      </c>
      <c r="P8" s="106">
        <f>2*6500</f>
        <v>13000</v>
      </c>
    </row>
    <row r="9" spans="1:16" ht="22.5" x14ac:dyDescent="0.25">
      <c r="A9" s="7" t="s">
        <v>29</v>
      </c>
      <c r="B9" s="8" t="s">
        <v>30</v>
      </c>
      <c r="C9" s="9">
        <v>40</v>
      </c>
      <c r="D9" s="12">
        <v>1100</v>
      </c>
      <c r="E9" s="13">
        <v>44000</v>
      </c>
      <c r="F9" s="98">
        <v>90</v>
      </c>
      <c r="G9" s="98">
        <v>0</v>
      </c>
      <c r="H9" s="98">
        <v>90</v>
      </c>
      <c r="I9" s="98">
        <v>0</v>
      </c>
      <c r="J9" s="97">
        <v>2013</v>
      </c>
      <c r="K9" s="97" t="s">
        <v>236</v>
      </c>
      <c r="L9" s="97"/>
      <c r="M9" s="100">
        <v>44197</v>
      </c>
      <c r="N9" s="98">
        <v>8</v>
      </c>
      <c r="O9" s="98">
        <v>40</v>
      </c>
      <c r="P9" s="106">
        <f>40*12000</f>
        <v>480000</v>
      </c>
    </row>
    <row r="10" spans="1:16" ht="22.5" x14ac:dyDescent="0.25">
      <c r="A10" s="7" t="s">
        <v>38</v>
      </c>
      <c r="B10" s="8" t="s">
        <v>242</v>
      </c>
      <c r="C10" s="9">
        <v>20</v>
      </c>
      <c r="D10" s="10">
        <v>150</v>
      </c>
      <c r="E10" s="13">
        <v>3000</v>
      </c>
      <c r="F10" s="98">
        <v>45</v>
      </c>
      <c r="G10" s="98">
        <v>0</v>
      </c>
      <c r="H10" s="98">
        <v>45</v>
      </c>
      <c r="I10" s="98">
        <v>0</v>
      </c>
      <c r="J10" s="97">
        <v>2013</v>
      </c>
      <c r="K10" s="97" t="s">
        <v>236</v>
      </c>
      <c r="L10" s="97"/>
      <c r="M10" s="97" t="s">
        <v>235</v>
      </c>
      <c r="N10" s="98">
        <v>16</v>
      </c>
      <c r="O10" s="98">
        <v>20</v>
      </c>
      <c r="P10" s="106">
        <f>O10*600</f>
        <v>12000</v>
      </c>
    </row>
    <row r="11" spans="1:16" x14ac:dyDescent="0.25">
      <c r="A11" s="7" t="s">
        <v>39</v>
      </c>
      <c r="B11" s="8" t="s">
        <v>243</v>
      </c>
      <c r="C11" s="14">
        <v>5</v>
      </c>
      <c r="D11" s="6"/>
      <c r="E11" s="6"/>
      <c r="F11" s="98">
        <v>0</v>
      </c>
      <c r="G11" s="98">
        <v>0</v>
      </c>
      <c r="H11" s="98">
        <v>0</v>
      </c>
      <c r="I11" s="98">
        <v>0</v>
      </c>
      <c r="J11" s="97" t="s">
        <v>235</v>
      </c>
      <c r="K11" s="97"/>
      <c r="L11" s="97"/>
      <c r="M11" s="97" t="s">
        <v>235</v>
      </c>
      <c r="N11" s="98">
        <v>20</v>
      </c>
      <c r="O11" s="98">
        <v>5</v>
      </c>
      <c r="P11" s="106">
        <f>O11*1900</f>
        <v>9500</v>
      </c>
    </row>
    <row r="12" spans="1:16" ht="33.75" x14ac:dyDescent="0.25">
      <c r="A12" s="7" t="s">
        <v>40</v>
      </c>
      <c r="B12" s="8" t="s">
        <v>244</v>
      </c>
      <c r="C12" s="14">
        <v>8</v>
      </c>
      <c r="D12" s="10">
        <v>950</v>
      </c>
      <c r="E12" s="13">
        <v>7600</v>
      </c>
      <c r="F12" s="98">
        <v>0</v>
      </c>
      <c r="G12" s="98">
        <v>0</v>
      </c>
      <c r="H12" s="98">
        <v>0</v>
      </c>
      <c r="I12" s="98">
        <v>0</v>
      </c>
      <c r="J12" s="97" t="s">
        <v>235</v>
      </c>
      <c r="K12" s="97"/>
      <c r="L12" s="97"/>
      <c r="M12" s="97" t="s">
        <v>235</v>
      </c>
      <c r="N12" s="98">
        <v>13</v>
      </c>
      <c r="O12" s="98">
        <v>8</v>
      </c>
      <c r="P12" s="106">
        <f>O12*2700</f>
        <v>21600</v>
      </c>
    </row>
    <row r="13" spans="1:16" x14ac:dyDescent="0.25">
      <c r="A13" s="42" t="s">
        <v>24</v>
      </c>
      <c r="B13" s="43"/>
      <c r="C13" s="43"/>
      <c r="D13" s="43"/>
      <c r="E13" s="44"/>
      <c r="F13" s="123"/>
      <c r="G13" s="123"/>
      <c r="H13" s="123"/>
      <c r="I13" s="123"/>
      <c r="J13" s="122"/>
      <c r="K13" s="122"/>
      <c r="L13" s="122"/>
      <c r="M13" s="122"/>
      <c r="N13" s="123"/>
      <c r="O13" s="123"/>
      <c r="P13" s="123"/>
    </row>
    <row r="14" spans="1:16" x14ac:dyDescent="0.25">
      <c r="A14" s="7" t="s">
        <v>25</v>
      </c>
      <c r="B14" s="8" t="s">
        <v>245</v>
      </c>
      <c r="C14" s="9">
        <v>40</v>
      </c>
      <c r="D14" s="10">
        <v>140</v>
      </c>
      <c r="E14" s="13">
        <v>5600</v>
      </c>
      <c r="F14" s="98">
        <v>1</v>
      </c>
      <c r="G14" s="98">
        <v>0</v>
      </c>
      <c r="H14" s="98">
        <v>0</v>
      </c>
      <c r="I14" s="98">
        <v>0</v>
      </c>
      <c r="J14" s="97" t="s">
        <v>235</v>
      </c>
      <c r="K14" s="97" t="s">
        <v>236</v>
      </c>
      <c r="L14" s="97"/>
      <c r="M14" s="97" t="s">
        <v>235</v>
      </c>
      <c r="N14" s="98">
        <f>100/20</f>
        <v>5</v>
      </c>
      <c r="O14" s="98">
        <v>20</v>
      </c>
      <c r="P14" s="106">
        <f>O14*500</f>
        <v>10000</v>
      </c>
    </row>
    <row r="15" spans="1:16" x14ac:dyDescent="0.25">
      <c r="A15" s="42" t="s">
        <v>26</v>
      </c>
      <c r="B15" s="43"/>
      <c r="C15" s="43"/>
      <c r="D15" s="43"/>
      <c r="E15" s="44"/>
      <c r="F15" s="123"/>
      <c r="G15" s="123"/>
      <c r="H15" s="123"/>
      <c r="I15" s="123"/>
      <c r="J15" s="122"/>
      <c r="K15" s="122"/>
      <c r="L15" s="122"/>
      <c r="M15" s="122"/>
      <c r="N15" s="123"/>
      <c r="O15" s="123"/>
      <c r="P15" s="123"/>
    </row>
    <row r="16" spans="1:16" ht="22.5" x14ac:dyDescent="0.25">
      <c r="A16" s="7" t="s">
        <v>41</v>
      </c>
      <c r="B16" s="8" t="s">
        <v>246</v>
      </c>
      <c r="C16" s="9">
        <v>8</v>
      </c>
      <c r="D16" s="10">
        <v>250</v>
      </c>
      <c r="E16" s="13">
        <v>2000</v>
      </c>
      <c r="F16" s="98">
        <v>0</v>
      </c>
      <c r="G16" s="98">
        <v>0</v>
      </c>
      <c r="H16" s="98">
        <v>0</v>
      </c>
      <c r="I16" s="98">
        <v>0</v>
      </c>
      <c r="J16" s="97" t="s">
        <v>235</v>
      </c>
      <c r="K16" s="97"/>
      <c r="L16" s="97"/>
      <c r="M16" s="97" t="s">
        <v>235</v>
      </c>
      <c r="N16" s="98">
        <v>13</v>
      </c>
      <c r="O16" s="98">
        <v>8</v>
      </c>
      <c r="P16" s="106">
        <f>O16*1800</f>
        <v>14400</v>
      </c>
    </row>
    <row r="17" spans="1:16" x14ac:dyDescent="0.25">
      <c r="A17" s="42" t="s">
        <v>27</v>
      </c>
      <c r="B17" s="43"/>
      <c r="C17" s="43"/>
      <c r="D17" s="43"/>
      <c r="E17" s="44"/>
      <c r="F17" s="123"/>
      <c r="G17" s="123"/>
      <c r="H17" s="123"/>
      <c r="I17" s="123"/>
      <c r="J17" s="122"/>
      <c r="K17" s="122"/>
      <c r="L17" s="122"/>
      <c r="M17" s="122"/>
      <c r="N17" s="123"/>
      <c r="O17" s="123"/>
      <c r="P17" s="123"/>
    </row>
    <row r="18" spans="1:16" x14ac:dyDescent="0.25">
      <c r="A18" s="7" t="s">
        <v>9</v>
      </c>
      <c r="B18" s="8" t="s">
        <v>28</v>
      </c>
      <c r="C18" s="9">
        <v>1</v>
      </c>
      <c r="D18" s="10">
        <v>120</v>
      </c>
      <c r="E18" s="11">
        <v>120</v>
      </c>
      <c r="F18" s="98">
        <v>1</v>
      </c>
      <c r="G18" s="98">
        <v>0</v>
      </c>
      <c r="H18" s="98">
        <v>0</v>
      </c>
      <c r="I18" s="98">
        <v>0</v>
      </c>
      <c r="J18" s="97" t="s">
        <v>235</v>
      </c>
      <c r="K18" s="97" t="s">
        <v>236</v>
      </c>
      <c r="L18" s="97"/>
      <c r="M18" s="100">
        <v>43891</v>
      </c>
      <c r="N18" s="97" t="s">
        <v>235</v>
      </c>
      <c r="O18" s="98">
        <v>4</v>
      </c>
      <c r="P18" s="106">
        <f>O18*500</f>
        <v>2000</v>
      </c>
    </row>
    <row r="19" spans="1:16" x14ac:dyDescent="0.25">
      <c r="A19" s="7" t="s">
        <v>19</v>
      </c>
      <c r="B19" s="8" t="s">
        <v>247</v>
      </c>
      <c r="C19" s="9">
        <v>1</v>
      </c>
      <c r="D19" s="10">
        <v>215</v>
      </c>
      <c r="E19" s="11">
        <v>215</v>
      </c>
      <c r="F19" s="98">
        <v>4</v>
      </c>
      <c r="G19" s="98">
        <v>0</v>
      </c>
      <c r="H19" s="98">
        <v>0</v>
      </c>
      <c r="I19" s="98">
        <v>4</v>
      </c>
      <c r="J19" s="97">
        <v>2000</v>
      </c>
      <c r="K19" s="97" t="s">
        <v>236</v>
      </c>
      <c r="L19" s="97"/>
      <c r="M19" s="97">
        <v>2015</v>
      </c>
      <c r="N19" s="97" t="s">
        <v>235</v>
      </c>
      <c r="O19" s="98">
        <v>4</v>
      </c>
      <c r="P19" s="106">
        <f>O19*1800</f>
        <v>7200</v>
      </c>
    </row>
    <row r="20" spans="1:16" x14ac:dyDescent="0.25">
      <c r="A20" s="42" t="s">
        <v>10</v>
      </c>
      <c r="B20" s="43"/>
      <c r="C20" s="43"/>
      <c r="D20" s="43"/>
      <c r="E20" s="44"/>
      <c r="F20" s="123"/>
      <c r="G20" s="123"/>
      <c r="H20" s="123"/>
      <c r="I20" s="123"/>
      <c r="J20" s="122"/>
      <c r="K20" s="122"/>
      <c r="L20" s="122"/>
      <c r="M20" s="122"/>
      <c r="N20" s="123"/>
      <c r="O20" s="123"/>
      <c r="P20" s="123"/>
    </row>
    <row r="21" spans="1:16" x14ac:dyDescent="0.25">
      <c r="A21" s="7" t="s">
        <v>12</v>
      </c>
      <c r="B21" s="8" t="s">
        <v>248</v>
      </c>
      <c r="C21" s="9">
        <v>1</v>
      </c>
      <c r="D21" s="10">
        <v>60</v>
      </c>
      <c r="E21" s="11">
        <v>60</v>
      </c>
      <c r="F21" s="98">
        <v>4</v>
      </c>
      <c r="G21" s="98">
        <v>0</v>
      </c>
      <c r="H21" s="98">
        <v>0</v>
      </c>
      <c r="I21" s="98">
        <v>4</v>
      </c>
      <c r="J21" s="97">
        <v>2015</v>
      </c>
      <c r="K21" s="97" t="s">
        <v>236</v>
      </c>
      <c r="L21" s="97"/>
      <c r="M21" s="100">
        <v>44228</v>
      </c>
      <c r="N21" s="97" t="s">
        <v>235</v>
      </c>
      <c r="O21" s="98">
        <v>4</v>
      </c>
      <c r="P21" s="106">
        <f>O21*1800</f>
        <v>7200</v>
      </c>
    </row>
    <row r="22" spans="1:16" ht="22.5" x14ac:dyDescent="0.25">
      <c r="A22" s="7" t="s">
        <v>33</v>
      </c>
      <c r="B22" s="8" t="s">
        <v>249</v>
      </c>
      <c r="C22" s="9">
        <v>20</v>
      </c>
      <c r="D22" s="10">
        <v>140</v>
      </c>
      <c r="E22" s="13">
        <v>2800</v>
      </c>
      <c r="F22" s="98">
        <v>53</v>
      </c>
      <c r="G22" s="98">
        <v>0</v>
      </c>
      <c r="H22" s="98">
        <v>33</v>
      </c>
      <c r="I22" s="98">
        <v>20</v>
      </c>
      <c r="J22" s="97">
        <v>2000</v>
      </c>
      <c r="K22" s="97" t="s">
        <v>236</v>
      </c>
      <c r="L22" s="97"/>
      <c r="M22" s="100">
        <v>44228</v>
      </c>
      <c r="N22" s="142">
        <v>2</v>
      </c>
      <c r="O22" s="98">
        <v>20</v>
      </c>
      <c r="P22" s="106">
        <f>O22*1600</f>
        <v>32000</v>
      </c>
    </row>
    <row r="23" spans="1:16" x14ac:dyDescent="0.25">
      <c r="A23" s="7" t="s">
        <v>43</v>
      </c>
      <c r="B23" s="8" t="s">
        <v>250</v>
      </c>
      <c r="C23" s="9">
        <v>41</v>
      </c>
      <c r="D23" s="10">
        <v>80</v>
      </c>
      <c r="E23" s="13">
        <v>3280</v>
      </c>
      <c r="F23" s="98">
        <v>0</v>
      </c>
      <c r="G23" s="98">
        <v>0</v>
      </c>
      <c r="H23" s="98">
        <v>0</v>
      </c>
      <c r="I23" s="98">
        <v>0</v>
      </c>
      <c r="J23" s="97"/>
      <c r="K23" s="97"/>
      <c r="L23" s="97"/>
      <c r="M23" s="97" t="s">
        <v>235</v>
      </c>
      <c r="N23" s="142">
        <v>1</v>
      </c>
      <c r="O23" s="98">
        <v>94</v>
      </c>
      <c r="P23" s="106">
        <f>O23*400</f>
        <v>37600</v>
      </c>
    </row>
    <row r="24" spans="1:16" x14ac:dyDescent="0.25">
      <c r="A24" s="7" t="s">
        <v>44</v>
      </c>
      <c r="B24" s="8" t="s">
        <v>251</v>
      </c>
      <c r="C24" s="9">
        <v>1</v>
      </c>
      <c r="D24" s="10">
        <v>150</v>
      </c>
      <c r="E24" s="11">
        <v>150</v>
      </c>
      <c r="F24" s="98">
        <v>0</v>
      </c>
      <c r="G24" s="98">
        <v>0</v>
      </c>
      <c r="H24" s="98">
        <v>0</v>
      </c>
      <c r="I24" s="98">
        <v>0</v>
      </c>
      <c r="J24" s="97"/>
      <c r="K24" s="97"/>
      <c r="L24" s="97"/>
      <c r="M24" s="97" t="s">
        <v>235</v>
      </c>
      <c r="N24" s="98">
        <v>181</v>
      </c>
      <c r="O24" s="98">
        <v>4</v>
      </c>
      <c r="P24" s="106">
        <f>O24*4500</f>
        <v>18000</v>
      </c>
    </row>
    <row r="25" spans="1:16" x14ac:dyDescent="0.25">
      <c r="A25" s="7" t="s">
        <v>21</v>
      </c>
      <c r="B25" s="8" t="s">
        <v>252</v>
      </c>
      <c r="C25" s="9">
        <v>1</v>
      </c>
      <c r="D25" s="10">
        <v>90</v>
      </c>
      <c r="E25" s="11">
        <v>90</v>
      </c>
      <c r="F25" s="98">
        <v>4</v>
      </c>
      <c r="G25" s="98">
        <v>0</v>
      </c>
      <c r="H25" s="98">
        <v>4</v>
      </c>
      <c r="I25" s="98">
        <v>0</v>
      </c>
      <c r="J25" s="97">
        <v>2000</v>
      </c>
      <c r="K25" s="97"/>
      <c r="L25" s="97"/>
      <c r="M25" s="100">
        <v>44228</v>
      </c>
      <c r="N25" s="98">
        <v>181</v>
      </c>
      <c r="O25" s="98">
        <v>4</v>
      </c>
      <c r="P25" s="106">
        <f>O25*700</f>
        <v>2800</v>
      </c>
    </row>
    <row r="26" spans="1:16" x14ac:dyDescent="0.25">
      <c r="A26" s="7" t="s">
        <v>18</v>
      </c>
      <c r="B26" s="8" t="s">
        <v>253</v>
      </c>
      <c r="C26" s="9">
        <v>1</v>
      </c>
      <c r="D26" s="10">
        <v>240</v>
      </c>
      <c r="E26" s="11">
        <v>240</v>
      </c>
      <c r="F26" s="98">
        <v>4</v>
      </c>
      <c r="G26" s="98">
        <v>0</v>
      </c>
      <c r="H26" s="98">
        <v>0</v>
      </c>
      <c r="I26" s="98">
        <v>4</v>
      </c>
      <c r="J26" s="97">
        <v>2015</v>
      </c>
      <c r="K26" s="97"/>
      <c r="L26" s="97"/>
      <c r="M26" s="100">
        <v>44228</v>
      </c>
      <c r="N26" s="98">
        <v>16</v>
      </c>
      <c r="O26" s="98">
        <v>4</v>
      </c>
      <c r="P26" s="106">
        <f>O26*1500</f>
        <v>6000</v>
      </c>
    </row>
    <row r="27" spans="1:16" x14ac:dyDescent="0.25">
      <c r="A27" s="56" t="s">
        <v>22</v>
      </c>
      <c r="B27" s="57"/>
      <c r="C27" s="57"/>
      <c r="D27" s="58"/>
      <c r="E27" s="15">
        <v>70555</v>
      </c>
      <c r="F27" s="143" t="s">
        <v>239</v>
      </c>
      <c r="G27" s="144"/>
      <c r="H27" s="144"/>
      <c r="I27" s="144"/>
      <c r="J27" s="144"/>
      <c r="K27" s="144"/>
      <c r="L27" s="144"/>
      <c r="M27" s="144"/>
      <c r="N27" s="144"/>
      <c r="O27" s="145" t="s">
        <v>240</v>
      </c>
      <c r="P27" s="146">
        <f>SUM(P7:P26)</f>
        <v>684300</v>
      </c>
    </row>
  </sheetData>
  <mergeCells count="21">
    <mergeCell ref="F27:N27"/>
    <mergeCell ref="A1:P1"/>
    <mergeCell ref="A2:P2"/>
    <mergeCell ref="J4:J5"/>
    <mergeCell ref="K4:L4"/>
    <mergeCell ref="F3:P3"/>
    <mergeCell ref="F4:F5"/>
    <mergeCell ref="G4:I4"/>
    <mergeCell ref="M4:M5"/>
    <mergeCell ref="N4:N5"/>
    <mergeCell ref="O4:O5"/>
    <mergeCell ref="P4:P5"/>
    <mergeCell ref="A6:E6"/>
    <mergeCell ref="A27:D27"/>
    <mergeCell ref="B3:C3"/>
    <mergeCell ref="D3:E3"/>
    <mergeCell ref="B4:E4"/>
    <mergeCell ref="A13:E13"/>
    <mergeCell ref="A15:E15"/>
    <mergeCell ref="A20:E20"/>
    <mergeCell ref="A17:E17"/>
  </mergeCells>
  <pageMargins left="0.7" right="0.7" top="0.75" bottom="0.75" header="0.3" footer="0.3"/>
  <pageSetup scale="41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activeCell="F4" sqref="F4"/>
    </sheetView>
  </sheetViews>
  <sheetFormatPr baseColWidth="10" defaultRowHeight="15" x14ac:dyDescent="0.25"/>
  <cols>
    <col min="2" max="2" width="14.85546875" customWidth="1"/>
  </cols>
  <sheetData>
    <row r="1" spans="1:16" ht="33" customHeight="1" x14ac:dyDescent="0.25">
      <c r="A1" s="45" t="s">
        <v>220</v>
      </c>
      <c r="B1" s="46"/>
      <c r="C1" s="46"/>
      <c r="D1" s="46"/>
      <c r="E1" s="46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16" s="159" customFormat="1" ht="15" customHeight="1" x14ac:dyDescent="0.25">
      <c r="A2" s="63" t="s">
        <v>254</v>
      </c>
      <c r="B2" s="63"/>
      <c r="C2" s="63"/>
      <c r="D2" s="63"/>
      <c r="E2" s="63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</row>
    <row r="4" spans="1:16" ht="26.25" customHeight="1" x14ac:dyDescent="0.25">
      <c r="A4" s="74" t="s">
        <v>203</v>
      </c>
      <c r="B4" s="75"/>
      <c r="C4" s="75"/>
      <c r="D4" s="75"/>
      <c r="E4" s="76"/>
    </row>
    <row r="5" spans="1:16" x14ac:dyDescent="0.25">
      <c r="A5" s="1" t="s">
        <v>3</v>
      </c>
      <c r="B5" s="39" t="s">
        <v>204</v>
      </c>
      <c r="C5" s="40"/>
      <c r="D5" s="40"/>
      <c r="E5" s="41"/>
    </row>
    <row r="6" spans="1:16" x14ac:dyDescent="0.25">
      <c r="A6" s="2" t="s">
        <v>255</v>
      </c>
      <c r="B6" s="3" t="s">
        <v>5</v>
      </c>
      <c r="C6" s="36" t="s">
        <v>35</v>
      </c>
      <c r="D6" s="5" t="s">
        <v>7</v>
      </c>
      <c r="E6" s="2" t="s">
        <v>8</v>
      </c>
    </row>
    <row r="7" spans="1:16" x14ac:dyDescent="0.25">
      <c r="A7" s="42" t="s">
        <v>23</v>
      </c>
      <c r="B7" s="43"/>
      <c r="C7" s="43"/>
      <c r="D7" s="43"/>
      <c r="E7" s="44"/>
    </row>
    <row r="8" spans="1:16" x14ac:dyDescent="0.25">
      <c r="A8" s="81">
        <v>1</v>
      </c>
      <c r="B8" s="81" t="s">
        <v>256</v>
      </c>
      <c r="C8" s="82">
        <v>1</v>
      </c>
      <c r="D8" s="82">
        <v>4600</v>
      </c>
      <c r="E8" s="90">
        <f>C8*D8</f>
        <v>4600</v>
      </c>
    </row>
    <row r="9" spans="1:16" x14ac:dyDescent="0.25">
      <c r="A9" s="81">
        <v>2</v>
      </c>
      <c r="B9" s="81" t="s">
        <v>257</v>
      </c>
      <c r="C9" s="82">
        <v>5</v>
      </c>
      <c r="D9" s="82">
        <v>700</v>
      </c>
      <c r="E9" s="90">
        <f t="shared" ref="E9:E15" si="0">C9*D9</f>
        <v>3500</v>
      </c>
    </row>
    <row r="10" spans="1:16" x14ac:dyDescent="0.25">
      <c r="A10" s="81">
        <v>3</v>
      </c>
      <c r="B10" s="81" t="s">
        <v>258</v>
      </c>
      <c r="C10" s="82">
        <v>5</v>
      </c>
      <c r="D10" s="88">
        <v>900</v>
      </c>
      <c r="E10" s="90">
        <f t="shared" si="0"/>
        <v>4500</v>
      </c>
    </row>
    <row r="11" spans="1:16" x14ac:dyDescent="0.25">
      <c r="A11" s="81">
        <v>4</v>
      </c>
      <c r="B11" s="81" t="s">
        <v>259</v>
      </c>
      <c r="C11" s="82">
        <v>4</v>
      </c>
      <c r="D11" s="82">
        <v>1500</v>
      </c>
      <c r="E11" s="90">
        <f t="shared" si="0"/>
        <v>6000</v>
      </c>
    </row>
    <row r="12" spans="1:16" ht="33.75" x14ac:dyDescent="0.25">
      <c r="A12" s="81">
        <v>5</v>
      </c>
      <c r="B12" s="81" t="s">
        <v>268</v>
      </c>
      <c r="C12" s="81">
        <v>2</v>
      </c>
      <c r="D12" s="81">
        <v>1200</v>
      </c>
      <c r="E12" s="94">
        <f t="shared" si="0"/>
        <v>2400</v>
      </c>
    </row>
    <row r="13" spans="1:16" ht="33.75" x14ac:dyDescent="0.25">
      <c r="A13" s="81">
        <v>6</v>
      </c>
      <c r="B13" s="81" t="s">
        <v>260</v>
      </c>
      <c r="C13" s="81">
        <v>5</v>
      </c>
      <c r="D13" s="81">
        <v>600</v>
      </c>
      <c r="E13" s="94">
        <f t="shared" si="0"/>
        <v>3000</v>
      </c>
    </row>
    <row r="14" spans="1:16" ht="67.5" x14ac:dyDescent="0.25">
      <c r="A14" s="81">
        <v>7</v>
      </c>
      <c r="B14" s="81" t="s">
        <v>261</v>
      </c>
      <c r="C14" s="81">
        <v>1</v>
      </c>
      <c r="D14" s="81">
        <v>8400</v>
      </c>
      <c r="E14" s="94">
        <f t="shared" si="0"/>
        <v>8400</v>
      </c>
    </row>
    <row r="15" spans="1:16" ht="33.75" x14ac:dyDescent="0.25">
      <c r="A15" s="81">
        <v>8</v>
      </c>
      <c r="B15" s="81" t="s">
        <v>262</v>
      </c>
      <c r="C15" s="81">
        <v>2</v>
      </c>
      <c r="D15" s="81">
        <v>2600</v>
      </c>
      <c r="E15" s="94">
        <f t="shared" si="0"/>
        <v>5200</v>
      </c>
    </row>
    <row r="16" spans="1:16" x14ac:dyDescent="0.25">
      <c r="A16" s="81"/>
      <c r="B16" s="81"/>
      <c r="C16" s="81"/>
      <c r="D16" s="81"/>
      <c r="E16" s="81"/>
    </row>
    <row r="17" spans="1:5" ht="15" customHeight="1" x14ac:dyDescent="0.25">
      <c r="A17" s="83" t="s">
        <v>263</v>
      </c>
      <c r="B17" s="84"/>
      <c r="C17" s="84"/>
      <c r="D17" s="84"/>
      <c r="E17" s="85"/>
    </row>
    <row r="18" spans="1:5" ht="33.75" x14ac:dyDescent="0.25">
      <c r="A18" s="81">
        <v>9</v>
      </c>
      <c r="B18" s="81" t="s">
        <v>264</v>
      </c>
      <c r="C18" s="81">
        <v>1</v>
      </c>
      <c r="D18" s="81">
        <v>1500</v>
      </c>
      <c r="E18" s="94">
        <v>1500</v>
      </c>
    </row>
    <row r="19" spans="1:5" x14ac:dyDescent="0.25">
      <c r="A19" s="81"/>
      <c r="B19" s="81"/>
      <c r="C19" s="81"/>
      <c r="D19" s="81"/>
      <c r="E19" s="81"/>
    </row>
    <row r="20" spans="1:5" ht="15" customHeight="1" x14ac:dyDescent="0.25">
      <c r="A20" s="91" t="s">
        <v>26</v>
      </c>
      <c r="B20" s="92"/>
      <c r="C20" s="92"/>
      <c r="D20" s="92"/>
      <c r="E20" s="93"/>
    </row>
    <row r="21" spans="1:5" ht="56.25" x14ac:dyDescent="0.25">
      <c r="A21" s="81">
        <v>10</v>
      </c>
      <c r="B21" s="81" t="s">
        <v>265</v>
      </c>
      <c r="C21" s="81">
        <v>2</v>
      </c>
      <c r="D21" s="81">
        <v>600</v>
      </c>
      <c r="E21" s="94">
        <f>C21*D21</f>
        <v>1200</v>
      </c>
    </row>
    <row r="22" spans="1:5" x14ac:dyDescent="0.25">
      <c r="A22" s="81"/>
      <c r="B22" s="81"/>
      <c r="C22" s="81"/>
      <c r="D22" s="81"/>
      <c r="E22" s="81"/>
    </row>
    <row r="23" spans="1:5" x14ac:dyDescent="0.25">
      <c r="A23" s="91" t="s">
        <v>10</v>
      </c>
      <c r="B23" s="92"/>
      <c r="C23" s="92"/>
      <c r="D23" s="92"/>
      <c r="E23" s="93"/>
    </row>
    <row r="24" spans="1:5" x14ac:dyDescent="0.25">
      <c r="A24" s="81">
        <v>11</v>
      </c>
      <c r="B24" s="81" t="s">
        <v>266</v>
      </c>
      <c r="C24" s="81">
        <v>4</v>
      </c>
      <c r="D24" s="81">
        <v>6000</v>
      </c>
      <c r="E24" s="94">
        <f>C24*D24</f>
        <v>24000</v>
      </c>
    </row>
    <row r="25" spans="1:5" ht="22.5" x14ac:dyDescent="0.25">
      <c r="A25" s="81">
        <v>12</v>
      </c>
      <c r="B25" s="81" t="s">
        <v>267</v>
      </c>
      <c r="C25" s="81">
        <v>2</v>
      </c>
      <c r="D25" s="81">
        <v>600</v>
      </c>
      <c r="E25" s="94">
        <f>C25*D25</f>
        <v>1200</v>
      </c>
    </row>
    <row r="26" spans="1:5" x14ac:dyDescent="0.25">
      <c r="A26" s="81"/>
      <c r="B26" s="81"/>
      <c r="C26" s="81"/>
      <c r="D26" s="81"/>
      <c r="E26" s="95">
        <v>65500</v>
      </c>
    </row>
  </sheetData>
  <mergeCells count="8">
    <mergeCell ref="A17:E17"/>
    <mergeCell ref="A20:E20"/>
    <mergeCell ref="A23:E23"/>
    <mergeCell ref="A1:E1"/>
    <mergeCell ref="A2:E2"/>
    <mergeCell ref="B5:E5"/>
    <mergeCell ref="A7:E7"/>
    <mergeCell ref="A4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6"/>
  <sheetViews>
    <sheetView zoomScale="115" zoomScaleNormal="115" zoomScaleSheetLayoutView="85" zoomScalePageLayoutView="55" workbookViewId="0">
      <selection activeCell="A147" sqref="A147:XFD156"/>
    </sheetView>
  </sheetViews>
  <sheetFormatPr baseColWidth="10" defaultRowHeight="15" x14ac:dyDescent="0.25"/>
  <cols>
    <col min="1" max="1" width="9.42578125" customWidth="1"/>
    <col min="2" max="2" width="40.42578125" style="79" customWidth="1"/>
    <col min="3" max="3" width="11.28515625" customWidth="1"/>
    <col min="4" max="5" width="11.42578125" customWidth="1"/>
    <col min="6" max="6" width="14.7109375" style="33" customWidth="1"/>
    <col min="7" max="9" width="11.42578125" style="34" customWidth="1"/>
    <col min="10" max="12" width="11.42578125" customWidth="1"/>
    <col min="13" max="13" width="14.85546875" customWidth="1"/>
    <col min="14" max="14" width="14.140625" customWidth="1"/>
    <col min="15" max="15" width="13.140625" customWidth="1"/>
    <col min="16" max="16" width="15.42578125" customWidth="1"/>
  </cols>
  <sheetData>
    <row r="1" spans="1:16" ht="15" customHeight="1" x14ac:dyDescent="0.25">
      <c r="A1" s="62" t="s">
        <v>219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6" ht="26.25" customHeight="1" x14ac:dyDescent="0.25">
      <c r="A2" s="62" t="s">
        <v>45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16" ht="17.25" customHeight="1" x14ac:dyDescent="0.25">
      <c r="A3" s="20" t="s">
        <v>2</v>
      </c>
      <c r="B3" s="59" t="s">
        <v>109</v>
      </c>
      <c r="C3" s="60"/>
      <c r="D3" s="61" t="s">
        <v>101</v>
      </c>
      <c r="E3" s="61"/>
    </row>
    <row r="4" spans="1:16" x14ac:dyDescent="0.25">
      <c r="A4" s="20" t="s">
        <v>3</v>
      </c>
      <c r="B4" s="60" t="s">
        <v>95</v>
      </c>
      <c r="C4" s="60"/>
      <c r="D4" s="60"/>
      <c r="E4" s="60"/>
      <c r="F4" s="53" t="s">
        <v>209</v>
      </c>
      <c r="G4" s="54" t="s">
        <v>210</v>
      </c>
      <c r="H4" s="54"/>
      <c r="I4" s="54"/>
      <c r="J4" s="49" t="s">
        <v>218</v>
      </c>
      <c r="K4" s="51" t="s">
        <v>215</v>
      </c>
      <c r="L4" s="52"/>
      <c r="M4" s="55" t="s">
        <v>211</v>
      </c>
      <c r="N4" s="55" t="s">
        <v>213</v>
      </c>
      <c r="O4" s="55" t="s">
        <v>212</v>
      </c>
      <c r="P4" s="55" t="s">
        <v>214</v>
      </c>
    </row>
    <row r="5" spans="1:16" x14ac:dyDescent="0.25">
      <c r="A5" s="4" t="s">
        <v>4</v>
      </c>
      <c r="B5" s="154" t="s">
        <v>0</v>
      </c>
      <c r="C5" s="4" t="s">
        <v>35</v>
      </c>
      <c r="D5" s="4" t="s">
        <v>7</v>
      </c>
      <c r="E5" s="4" t="s">
        <v>8</v>
      </c>
      <c r="F5" s="53"/>
      <c r="G5" s="31" t="s">
        <v>205</v>
      </c>
      <c r="H5" s="31" t="s">
        <v>206</v>
      </c>
      <c r="I5" s="31" t="s">
        <v>207</v>
      </c>
      <c r="J5" s="50"/>
      <c r="K5" s="31" t="s">
        <v>216</v>
      </c>
      <c r="L5" s="31" t="s">
        <v>217</v>
      </c>
      <c r="M5" s="55"/>
      <c r="N5" s="55"/>
      <c r="O5" s="55"/>
      <c r="P5" s="55"/>
    </row>
    <row r="6" spans="1:16" x14ac:dyDescent="0.25">
      <c r="A6" s="65" t="s">
        <v>23</v>
      </c>
      <c r="B6" s="65"/>
      <c r="C6" s="65"/>
      <c r="D6" s="65"/>
      <c r="E6" s="65"/>
    </row>
    <row r="7" spans="1:16" x14ac:dyDescent="0.25">
      <c r="A7" s="21" t="s">
        <v>48</v>
      </c>
      <c r="B7" s="78" t="s">
        <v>269</v>
      </c>
      <c r="C7" s="9">
        <v>2</v>
      </c>
      <c r="D7" s="9">
        <v>491</v>
      </c>
      <c r="E7" s="9">
        <v>982</v>
      </c>
      <c r="F7" s="96">
        <v>1</v>
      </c>
      <c r="G7" s="97"/>
      <c r="H7" s="97">
        <v>1</v>
      </c>
      <c r="I7" s="97"/>
      <c r="J7" s="97">
        <v>1994</v>
      </c>
      <c r="K7" s="97"/>
      <c r="L7" s="97" t="s">
        <v>236</v>
      </c>
      <c r="M7" s="100">
        <v>44166</v>
      </c>
      <c r="N7" s="97">
        <f>215/F7</f>
        <v>215</v>
      </c>
      <c r="O7" s="99">
        <f>C7-F7</f>
        <v>1</v>
      </c>
      <c r="P7" s="101">
        <f>O7*7200</f>
        <v>7200</v>
      </c>
    </row>
    <row r="8" spans="1:16" ht="15" customHeight="1" x14ac:dyDescent="0.25">
      <c r="A8" s="21" t="s">
        <v>49</v>
      </c>
      <c r="B8" s="78" t="s">
        <v>96</v>
      </c>
      <c r="C8" s="9">
        <v>2</v>
      </c>
      <c r="D8" s="9">
        <v>152</v>
      </c>
      <c r="E8" s="9">
        <v>304</v>
      </c>
      <c r="F8" s="96">
        <v>2</v>
      </c>
      <c r="G8" s="97"/>
      <c r="H8" s="97">
        <v>2</v>
      </c>
      <c r="I8" s="97"/>
      <c r="J8" s="97">
        <v>1988</v>
      </c>
      <c r="K8" s="97"/>
      <c r="L8" s="97" t="s">
        <v>236</v>
      </c>
      <c r="M8" s="100">
        <v>44166</v>
      </c>
      <c r="N8" s="97">
        <v>107</v>
      </c>
      <c r="O8" s="99">
        <f t="shared" ref="O8:O52" si="0">C8-F8</f>
        <v>0</v>
      </c>
      <c r="P8" s="97"/>
    </row>
    <row r="9" spans="1:16" ht="21.75" customHeight="1" x14ac:dyDescent="0.25">
      <c r="A9" s="21" t="s">
        <v>50</v>
      </c>
      <c r="B9" s="78" t="s">
        <v>270</v>
      </c>
      <c r="C9" s="9">
        <v>2</v>
      </c>
      <c r="D9" s="22">
        <v>7500</v>
      </c>
      <c r="E9" s="22">
        <v>15000</v>
      </c>
      <c r="F9" s="96">
        <v>1</v>
      </c>
      <c r="G9" s="97"/>
      <c r="H9" s="97"/>
      <c r="I9" s="97">
        <v>1</v>
      </c>
      <c r="J9" s="97">
        <v>2005</v>
      </c>
      <c r="K9" s="97" t="s">
        <v>236</v>
      </c>
      <c r="L9" s="97"/>
      <c r="M9" s="100">
        <v>44166</v>
      </c>
      <c r="N9" s="97">
        <f t="shared" ref="N8:N52" si="1">215/F9</f>
        <v>215</v>
      </c>
      <c r="O9" s="99">
        <f t="shared" si="0"/>
        <v>1</v>
      </c>
      <c r="P9" s="101">
        <v>688800</v>
      </c>
    </row>
    <row r="10" spans="1:16" ht="13.5" customHeight="1" x14ac:dyDescent="0.25">
      <c r="A10" s="21" t="s">
        <v>51</v>
      </c>
      <c r="B10" s="78" t="s">
        <v>110</v>
      </c>
      <c r="C10" s="9">
        <v>2</v>
      </c>
      <c r="D10" s="22">
        <v>1100</v>
      </c>
      <c r="E10" s="22">
        <v>2200</v>
      </c>
      <c r="F10" s="96">
        <v>2</v>
      </c>
      <c r="G10" s="97">
        <v>1</v>
      </c>
      <c r="H10" s="97">
        <v>1</v>
      </c>
      <c r="I10" s="97"/>
      <c r="J10" s="97">
        <v>2005</v>
      </c>
      <c r="K10" s="97"/>
      <c r="L10" s="97" t="s">
        <v>236</v>
      </c>
      <c r="M10" s="100">
        <v>44166</v>
      </c>
      <c r="N10" s="97">
        <v>107</v>
      </c>
      <c r="O10" s="99">
        <f t="shared" si="0"/>
        <v>0</v>
      </c>
      <c r="P10" s="101"/>
    </row>
    <row r="11" spans="1:16" ht="24.75" customHeight="1" x14ac:dyDescent="0.25">
      <c r="A11" s="21" t="s">
        <v>52</v>
      </c>
      <c r="B11" s="78" t="s">
        <v>271</v>
      </c>
      <c r="C11" s="9">
        <v>4</v>
      </c>
      <c r="D11" s="22">
        <v>1050</v>
      </c>
      <c r="E11" s="22">
        <v>4200</v>
      </c>
      <c r="F11" s="96">
        <v>2</v>
      </c>
      <c r="G11" s="97"/>
      <c r="H11" s="97">
        <v>2</v>
      </c>
      <c r="I11" s="97"/>
      <c r="J11" s="97">
        <v>2005</v>
      </c>
      <c r="K11" s="97"/>
      <c r="L11" s="97" t="s">
        <v>236</v>
      </c>
      <c r="M11" s="100">
        <v>44166</v>
      </c>
      <c r="N11" s="97">
        <v>107</v>
      </c>
      <c r="O11" s="99">
        <f t="shared" si="0"/>
        <v>2</v>
      </c>
      <c r="P11" s="101">
        <f>O11*9700</f>
        <v>19400</v>
      </c>
    </row>
    <row r="12" spans="1:16" ht="24.75" customHeight="1" x14ac:dyDescent="0.25">
      <c r="A12" s="21" t="s">
        <v>53</v>
      </c>
      <c r="B12" s="78" t="s">
        <v>221</v>
      </c>
      <c r="C12" s="9">
        <v>4</v>
      </c>
      <c r="D12" s="9">
        <v>850</v>
      </c>
      <c r="E12" s="22">
        <v>3400</v>
      </c>
      <c r="F12" s="96">
        <v>1</v>
      </c>
      <c r="G12" s="97"/>
      <c r="H12" s="97"/>
      <c r="I12" s="97">
        <v>1</v>
      </c>
      <c r="J12" s="97">
        <v>2005</v>
      </c>
      <c r="K12" s="97" t="s">
        <v>236</v>
      </c>
      <c r="L12" s="97"/>
      <c r="M12" s="100">
        <v>44166</v>
      </c>
      <c r="N12" s="97">
        <f t="shared" si="1"/>
        <v>215</v>
      </c>
      <c r="O12" s="99">
        <f t="shared" si="0"/>
        <v>3</v>
      </c>
      <c r="P12" s="101">
        <f>O12*28800</f>
        <v>86400</v>
      </c>
    </row>
    <row r="13" spans="1:16" ht="21.75" customHeight="1" x14ac:dyDescent="0.25">
      <c r="A13" s="21" t="s">
        <v>54</v>
      </c>
      <c r="B13" s="78" t="s">
        <v>111</v>
      </c>
      <c r="C13" s="9">
        <v>2</v>
      </c>
      <c r="D13" s="22">
        <v>1800</v>
      </c>
      <c r="E13" s="22">
        <v>3600</v>
      </c>
      <c r="F13" s="96">
        <v>0</v>
      </c>
      <c r="G13" s="97"/>
      <c r="H13" s="97"/>
      <c r="I13" s="97"/>
      <c r="J13" s="97" t="s">
        <v>235</v>
      </c>
      <c r="K13" s="97"/>
      <c r="L13" s="97"/>
      <c r="M13" s="100"/>
      <c r="N13" s="97"/>
      <c r="O13" s="99">
        <f t="shared" si="0"/>
        <v>2</v>
      </c>
      <c r="P13" s="101">
        <f>O13*43200</f>
        <v>86400</v>
      </c>
    </row>
    <row r="14" spans="1:16" ht="17.25" customHeight="1" x14ac:dyDescent="0.25">
      <c r="A14" s="21" t="s">
        <v>55</v>
      </c>
      <c r="B14" s="78" t="s">
        <v>97</v>
      </c>
      <c r="C14" s="9">
        <v>2</v>
      </c>
      <c r="D14" s="22">
        <v>1950</v>
      </c>
      <c r="E14" s="22">
        <v>3900</v>
      </c>
      <c r="F14" s="96">
        <v>1</v>
      </c>
      <c r="G14" s="97"/>
      <c r="H14" s="97">
        <v>1</v>
      </c>
      <c r="I14" s="97"/>
      <c r="J14" s="97">
        <v>2005</v>
      </c>
      <c r="K14" s="97"/>
      <c r="L14" s="97" t="s">
        <v>236</v>
      </c>
      <c r="M14" s="100">
        <v>44166</v>
      </c>
      <c r="N14" s="97">
        <f t="shared" si="1"/>
        <v>215</v>
      </c>
      <c r="O14" s="99">
        <f t="shared" si="0"/>
        <v>1</v>
      </c>
      <c r="P14" s="101">
        <f>O14*181200</f>
        <v>181200</v>
      </c>
    </row>
    <row r="15" spans="1:16" ht="26.25" customHeight="1" x14ac:dyDescent="0.25">
      <c r="A15" s="21" t="s">
        <v>56</v>
      </c>
      <c r="B15" s="78" t="s">
        <v>112</v>
      </c>
      <c r="C15" s="9">
        <v>2</v>
      </c>
      <c r="D15" s="9">
        <v>950</v>
      </c>
      <c r="E15" s="22">
        <v>1900</v>
      </c>
      <c r="F15" s="96">
        <v>0</v>
      </c>
      <c r="G15" s="97"/>
      <c r="H15" s="97"/>
      <c r="I15" s="97"/>
      <c r="J15" s="97" t="s">
        <v>235</v>
      </c>
      <c r="K15" s="97"/>
      <c r="L15" s="97"/>
      <c r="M15" s="100"/>
      <c r="N15" s="97"/>
      <c r="O15" s="99">
        <f t="shared" si="0"/>
        <v>2</v>
      </c>
      <c r="P15" s="102">
        <f>O16*39000</f>
        <v>78000</v>
      </c>
    </row>
    <row r="16" spans="1:16" ht="12" customHeight="1" x14ac:dyDescent="0.25">
      <c r="A16" s="21" t="s">
        <v>57</v>
      </c>
      <c r="B16" s="78" t="s">
        <v>272</v>
      </c>
      <c r="C16" s="9">
        <v>2</v>
      </c>
      <c r="D16" s="9">
        <v>670</v>
      </c>
      <c r="E16" s="22">
        <v>1340</v>
      </c>
      <c r="F16" s="96">
        <v>0</v>
      </c>
      <c r="G16" s="97"/>
      <c r="H16" s="97"/>
      <c r="I16" s="97"/>
      <c r="J16" s="97" t="s">
        <v>235</v>
      </c>
      <c r="K16" s="97"/>
      <c r="L16" s="97"/>
      <c r="M16" s="100"/>
      <c r="N16" s="97"/>
      <c r="O16" s="99">
        <f t="shared" si="0"/>
        <v>2</v>
      </c>
      <c r="P16" s="103"/>
    </row>
    <row r="17" spans="1:16" ht="22.5" customHeight="1" x14ac:dyDescent="0.25">
      <c r="A17" s="21" t="s">
        <v>58</v>
      </c>
      <c r="B17" s="78" t="s">
        <v>113</v>
      </c>
      <c r="C17" s="9">
        <v>2</v>
      </c>
      <c r="D17" s="9">
        <v>980</v>
      </c>
      <c r="E17" s="22">
        <v>1960</v>
      </c>
      <c r="F17" s="96">
        <v>1</v>
      </c>
      <c r="G17" s="97"/>
      <c r="H17" s="97">
        <v>1</v>
      </c>
      <c r="I17" s="97"/>
      <c r="J17" s="97">
        <v>1994</v>
      </c>
      <c r="K17" s="97" t="s">
        <v>236</v>
      </c>
      <c r="L17" s="97"/>
      <c r="M17" s="100">
        <v>44166</v>
      </c>
      <c r="N17" s="97">
        <f t="shared" si="1"/>
        <v>215</v>
      </c>
      <c r="O17" s="99">
        <f t="shared" si="0"/>
        <v>1</v>
      </c>
      <c r="P17" s="101">
        <f>O17*16700</f>
        <v>16700</v>
      </c>
    </row>
    <row r="18" spans="1:16" ht="22.5" customHeight="1" x14ac:dyDescent="0.25">
      <c r="A18" s="21" t="s">
        <v>59</v>
      </c>
      <c r="B18" s="78" t="s">
        <v>114</v>
      </c>
      <c r="C18" s="9">
        <v>2</v>
      </c>
      <c r="D18" s="22">
        <v>1550</v>
      </c>
      <c r="E18" s="22">
        <v>3100</v>
      </c>
      <c r="F18" s="96">
        <v>0</v>
      </c>
      <c r="G18" s="97"/>
      <c r="H18" s="97"/>
      <c r="I18" s="97"/>
      <c r="J18" s="97" t="s">
        <v>235</v>
      </c>
      <c r="K18" s="97"/>
      <c r="L18" s="97"/>
      <c r="M18" s="100"/>
      <c r="N18" s="97"/>
      <c r="O18" s="99">
        <f t="shared" si="0"/>
        <v>2</v>
      </c>
      <c r="P18" s="101">
        <f>O18*37200</f>
        <v>74400</v>
      </c>
    </row>
    <row r="19" spans="1:16" ht="15" customHeight="1" x14ac:dyDescent="0.25">
      <c r="A19" s="21" t="s">
        <v>60</v>
      </c>
      <c r="B19" s="78" t="s">
        <v>273</v>
      </c>
      <c r="C19" s="9">
        <v>2</v>
      </c>
      <c r="D19" s="22">
        <v>1180</v>
      </c>
      <c r="E19" s="22">
        <v>2360</v>
      </c>
      <c r="F19" s="96">
        <v>0</v>
      </c>
      <c r="G19" s="97"/>
      <c r="H19" s="97"/>
      <c r="I19" s="97"/>
      <c r="J19" s="97" t="s">
        <v>235</v>
      </c>
      <c r="K19" s="97"/>
      <c r="L19" s="97"/>
      <c r="M19" s="100"/>
      <c r="N19" s="97"/>
      <c r="O19" s="99">
        <f t="shared" si="0"/>
        <v>2</v>
      </c>
      <c r="P19" s="101">
        <f>O19*45600</f>
        <v>91200</v>
      </c>
    </row>
    <row r="20" spans="1:16" ht="14.25" customHeight="1" x14ac:dyDescent="0.25">
      <c r="A20" s="35" t="s">
        <v>61</v>
      </c>
      <c r="B20" s="78" t="s">
        <v>115</v>
      </c>
      <c r="C20" s="9">
        <v>2</v>
      </c>
      <c r="D20" s="22">
        <v>2750</v>
      </c>
      <c r="E20" s="22">
        <v>5500</v>
      </c>
      <c r="F20" s="96">
        <v>0</v>
      </c>
      <c r="G20" s="97"/>
      <c r="H20" s="97"/>
      <c r="I20" s="97"/>
      <c r="J20" s="97" t="s">
        <v>235</v>
      </c>
      <c r="K20" s="97"/>
      <c r="L20" s="97"/>
      <c r="M20" s="100"/>
      <c r="N20" s="97"/>
      <c r="O20" s="99">
        <v>2</v>
      </c>
      <c r="P20" s="101">
        <f>O20*36000</f>
        <v>72000</v>
      </c>
    </row>
    <row r="21" spans="1:16" ht="12" customHeight="1" x14ac:dyDescent="0.25">
      <c r="A21" s="21" t="s">
        <v>62</v>
      </c>
      <c r="B21" s="78" t="s">
        <v>274</v>
      </c>
      <c r="C21" s="9">
        <v>2</v>
      </c>
      <c r="D21" s="22">
        <v>5470</v>
      </c>
      <c r="E21" s="22">
        <v>10940</v>
      </c>
      <c r="F21" s="96">
        <v>1</v>
      </c>
      <c r="G21" s="97"/>
      <c r="H21" s="97">
        <v>1</v>
      </c>
      <c r="I21" s="97"/>
      <c r="J21" s="97">
        <v>2005</v>
      </c>
      <c r="K21" s="97"/>
      <c r="L21" s="97" t="s">
        <v>236</v>
      </c>
      <c r="M21" s="100">
        <v>44166</v>
      </c>
      <c r="N21" s="97">
        <f t="shared" si="1"/>
        <v>215</v>
      </c>
      <c r="O21" s="99">
        <f t="shared" si="0"/>
        <v>1</v>
      </c>
      <c r="P21" s="101">
        <f>O21*120000</f>
        <v>120000</v>
      </c>
    </row>
    <row r="22" spans="1:16" ht="10.5" customHeight="1" x14ac:dyDescent="0.25">
      <c r="A22" s="21" t="s">
        <v>63</v>
      </c>
      <c r="B22" s="78" t="s">
        <v>222</v>
      </c>
      <c r="C22" s="9">
        <v>2</v>
      </c>
      <c r="D22" s="9">
        <v>152</v>
      </c>
      <c r="E22" s="9">
        <v>304</v>
      </c>
      <c r="F22" s="96">
        <v>2</v>
      </c>
      <c r="G22" s="97"/>
      <c r="H22" s="97">
        <v>2</v>
      </c>
      <c r="I22" s="97"/>
      <c r="J22" s="97">
        <v>1994</v>
      </c>
      <c r="K22" s="97"/>
      <c r="L22" s="97" t="s">
        <v>236</v>
      </c>
      <c r="M22" s="100">
        <v>44166</v>
      </c>
      <c r="N22" s="97">
        <v>107</v>
      </c>
      <c r="O22" s="99">
        <f t="shared" si="0"/>
        <v>0</v>
      </c>
      <c r="P22" s="101"/>
    </row>
    <row r="23" spans="1:16" ht="13.5" customHeight="1" x14ac:dyDescent="0.25">
      <c r="A23" s="21" t="s">
        <v>64</v>
      </c>
      <c r="B23" s="78" t="s">
        <v>275</v>
      </c>
      <c r="C23" s="9">
        <v>2</v>
      </c>
      <c r="D23" s="9">
        <v>311</v>
      </c>
      <c r="E23" s="9">
        <v>622</v>
      </c>
      <c r="F23" s="96">
        <v>1</v>
      </c>
      <c r="G23" s="97"/>
      <c r="H23" s="97">
        <v>1</v>
      </c>
      <c r="I23" s="97"/>
      <c r="J23" s="97">
        <v>2005</v>
      </c>
      <c r="K23" s="97"/>
      <c r="L23" s="97" t="s">
        <v>236</v>
      </c>
      <c r="M23" s="100">
        <v>44166</v>
      </c>
      <c r="N23" s="97">
        <f t="shared" si="1"/>
        <v>215</v>
      </c>
      <c r="O23" s="99">
        <f t="shared" si="0"/>
        <v>1</v>
      </c>
      <c r="P23" s="104"/>
    </row>
    <row r="24" spans="1:16" ht="12.75" customHeight="1" x14ac:dyDescent="0.25">
      <c r="A24" s="21" t="s">
        <v>65</v>
      </c>
      <c r="B24" s="78" t="s">
        <v>98</v>
      </c>
      <c r="C24" s="9">
        <v>2</v>
      </c>
      <c r="D24" s="9">
        <v>101</v>
      </c>
      <c r="E24" s="9">
        <v>202</v>
      </c>
      <c r="F24" s="96">
        <v>1</v>
      </c>
      <c r="G24" s="97"/>
      <c r="H24" s="97">
        <v>1</v>
      </c>
      <c r="I24" s="97"/>
      <c r="J24" s="97">
        <v>2005</v>
      </c>
      <c r="K24" s="97"/>
      <c r="L24" s="97" t="s">
        <v>236</v>
      </c>
      <c r="M24" s="100">
        <v>44166</v>
      </c>
      <c r="N24" s="97">
        <f t="shared" si="1"/>
        <v>215</v>
      </c>
      <c r="O24" s="99">
        <f t="shared" si="0"/>
        <v>1</v>
      </c>
      <c r="P24" s="101">
        <v>3400</v>
      </c>
    </row>
    <row r="25" spans="1:16" ht="22.5" customHeight="1" x14ac:dyDescent="0.25">
      <c r="A25" s="21" t="s">
        <v>66</v>
      </c>
      <c r="B25" s="78" t="s">
        <v>116</v>
      </c>
      <c r="C25" s="9">
        <v>2</v>
      </c>
      <c r="D25" s="9">
        <v>315</v>
      </c>
      <c r="E25" s="9">
        <v>630</v>
      </c>
      <c r="F25" s="96">
        <v>1</v>
      </c>
      <c r="G25" s="97"/>
      <c r="H25" s="97">
        <v>1</v>
      </c>
      <c r="I25" s="97"/>
      <c r="J25" s="97">
        <v>1994</v>
      </c>
      <c r="K25" s="97"/>
      <c r="L25" s="97" t="s">
        <v>236</v>
      </c>
      <c r="M25" s="100">
        <v>44166</v>
      </c>
      <c r="N25" s="97">
        <f t="shared" si="1"/>
        <v>215</v>
      </c>
      <c r="O25" s="99">
        <f t="shared" si="0"/>
        <v>1</v>
      </c>
      <c r="P25" s="101">
        <v>9300</v>
      </c>
    </row>
    <row r="26" spans="1:16" ht="11.25" customHeight="1" x14ac:dyDescent="0.25">
      <c r="A26" s="21" t="s">
        <v>67</v>
      </c>
      <c r="B26" s="78" t="s">
        <v>276</v>
      </c>
      <c r="C26" s="9">
        <v>2</v>
      </c>
      <c r="D26" s="9">
        <v>700</v>
      </c>
      <c r="E26" s="22">
        <v>1400</v>
      </c>
      <c r="F26" s="96">
        <v>1</v>
      </c>
      <c r="G26" s="97"/>
      <c r="H26" s="97">
        <v>1</v>
      </c>
      <c r="I26" s="97"/>
      <c r="J26" s="97">
        <v>2005</v>
      </c>
      <c r="K26" s="97"/>
      <c r="L26" s="97" t="s">
        <v>236</v>
      </c>
      <c r="M26" s="100">
        <v>44166</v>
      </c>
      <c r="N26" s="97">
        <f t="shared" si="1"/>
        <v>215</v>
      </c>
      <c r="O26" s="99">
        <f t="shared" si="0"/>
        <v>1</v>
      </c>
      <c r="P26" s="101">
        <v>1000</v>
      </c>
    </row>
    <row r="27" spans="1:16" ht="20.25" customHeight="1" x14ac:dyDescent="0.25">
      <c r="A27" s="21" t="s">
        <v>68</v>
      </c>
      <c r="B27" s="78" t="s">
        <v>277</v>
      </c>
      <c r="C27" s="9">
        <v>2</v>
      </c>
      <c r="D27" s="9">
        <v>620</v>
      </c>
      <c r="E27" s="22">
        <v>1240</v>
      </c>
      <c r="F27" s="96">
        <v>1</v>
      </c>
      <c r="G27" s="97"/>
      <c r="H27" s="97">
        <v>1</v>
      </c>
      <c r="I27" s="97"/>
      <c r="J27" s="97">
        <v>2005</v>
      </c>
      <c r="K27" s="97"/>
      <c r="L27" s="97" t="s">
        <v>236</v>
      </c>
      <c r="M27" s="100">
        <v>44166</v>
      </c>
      <c r="N27" s="97">
        <f t="shared" si="1"/>
        <v>215</v>
      </c>
      <c r="O27" s="99">
        <f t="shared" si="0"/>
        <v>1</v>
      </c>
      <c r="P27" s="101">
        <v>2100</v>
      </c>
    </row>
    <row r="28" spans="1:16" ht="12" customHeight="1" x14ac:dyDescent="0.25">
      <c r="A28" s="21" t="s">
        <v>69</v>
      </c>
      <c r="B28" s="78" t="s">
        <v>278</v>
      </c>
      <c r="C28" s="9">
        <v>2</v>
      </c>
      <c r="D28" s="9">
        <v>321</v>
      </c>
      <c r="E28" s="9">
        <v>642</v>
      </c>
      <c r="F28" s="96">
        <v>1</v>
      </c>
      <c r="G28" s="97"/>
      <c r="H28" s="97">
        <v>1</v>
      </c>
      <c r="I28" s="97"/>
      <c r="J28" s="97">
        <v>1994</v>
      </c>
      <c r="K28" s="97"/>
      <c r="L28" s="97" t="s">
        <v>236</v>
      </c>
      <c r="M28" s="100">
        <v>44166</v>
      </c>
      <c r="N28" s="97">
        <f t="shared" si="1"/>
        <v>215</v>
      </c>
      <c r="O28" s="99">
        <f t="shared" si="0"/>
        <v>1</v>
      </c>
      <c r="P28" s="101">
        <v>3200</v>
      </c>
    </row>
    <row r="29" spans="1:16" ht="14.25" customHeight="1" x14ac:dyDescent="0.25">
      <c r="A29" s="21" t="s">
        <v>70</v>
      </c>
      <c r="B29" s="78" t="s">
        <v>223</v>
      </c>
      <c r="C29" s="9">
        <v>2</v>
      </c>
      <c r="D29" s="9">
        <v>183</v>
      </c>
      <c r="E29" s="9">
        <v>366</v>
      </c>
      <c r="F29" s="96">
        <v>1</v>
      </c>
      <c r="G29" s="97"/>
      <c r="H29" s="97">
        <v>1</v>
      </c>
      <c r="I29" s="97"/>
      <c r="J29" s="97">
        <v>1994</v>
      </c>
      <c r="K29" s="97"/>
      <c r="L29" s="97" t="s">
        <v>236</v>
      </c>
      <c r="M29" s="100">
        <v>44166</v>
      </c>
      <c r="N29" s="97">
        <f t="shared" si="1"/>
        <v>215</v>
      </c>
      <c r="O29" s="99">
        <f t="shared" si="0"/>
        <v>1</v>
      </c>
      <c r="P29" s="101">
        <v>1800</v>
      </c>
    </row>
    <row r="30" spans="1:16" ht="16.5" customHeight="1" x14ac:dyDescent="0.25">
      <c r="A30" s="21" t="s">
        <v>71</v>
      </c>
      <c r="B30" s="78" t="s">
        <v>279</v>
      </c>
      <c r="C30" s="9">
        <v>2</v>
      </c>
      <c r="D30" s="9">
        <v>297</v>
      </c>
      <c r="E30" s="9">
        <v>594</v>
      </c>
      <c r="F30" s="96">
        <v>1</v>
      </c>
      <c r="G30" s="97"/>
      <c r="H30" s="97">
        <v>1</v>
      </c>
      <c r="I30" s="97"/>
      <c r="J30" s="97">
        <v>1994</v>
      </c>
      <c r="K30" s="97"/>
      <c r="L30" s="97" t="s">
        <v>236</v>
      </c>
      <c r="M30" s="100">
        <v>44166</v>
      </c>
      <c r="N30" s="97">
        <f t="shared" si="1"/>
        <v>215</v>
      </c>
      <c r="O30" s="99">
        <f t="shared" si="0"/>
        <v>1</v>
      </c>
      <c r="P30" s="101">
        <v>3500</v>
      </c>
    </row>
    <row r="31" spans="1:16" ht="14.25" customHeight="1" x14ac:dyDescent="0.25">
      <c r="A31" s="21" t="s">
        <v>72</v>
      </c>
      <c r="B31" s="78" t="s">
        <v>280</v>
      </c>
      <c r="C31" s="9">
        <v>2</v>
      </c>
      <c r="D31" s="9">
        <v>680</v>
      </c>
      <c r="E31" s="22">
        <v>1360</v>
      </c>
      <c r="F31" s="96">
        <v>1</v>
      </c>
      <c r="G31" s="97"/>
      <c r="H31" s="97">
        <v>1</v>
      </c>
      <c r="I31" s="97"/>
      <c r="J31" s="97">
        <v>1993</v>
      </c>
      <c r="K31" s="97"/>
      <c r="L31" s="97" t="s">
        <v>236</v>
      </c>
      <c r="M31" s="100">
        <v>44166</v>
      </c>
      <c r="N31" s="97">
        <f t="shared" si="1"/>
        <v>215</v>
      </c>
      <c r="O31" s="99">
        <f t="shared" si="0"/>
        <v>1</v>
      </c>
      <c r="P31" s="101">
        <v>2800</v>
      </c>
    </row>
    <row r="32" spans="1:16" ht="12.75" customHeight="1" x14ac:dyDescent="0.25">
      <c r="A32" s="21" t="s">
        <v>73</v>
      </c>
      <c r="B32" s="78" t="s">
        <v>281</v>
      </c>
      <c r="C32" s="9">
        <v>2</v>
      </c>
      <c r="D32" s="9">
        <v>380</v>
      </c>
      <c r="E32" s="9">
        <v>760</v>
      </c>
      <c r="F32" s="96">
        <v>1</v>
      </c>
      <c r="G32" s="97"/>
      <c r="H32" s="97">
        <v>1</v>
      </c>
      <c r="I32" s="97"/>
      <c r="J32" s="97">
        <v>1994</v>
      </c>
      <c r="K32" s="97"/>
      <c r="L32" s="97" t="s">
        <v>236</v>
      </c>
      <c r="M32" s="100">
        <v>44166</v>
      </c>
      <c r="N32" s="97">
        <f t="shared" si="1"/>
        <v>215</v>
      </c>
      <c r="O32" s="99">
        <f t="shared" si="0"/>
        <v>1</v>
      </c>
      <c r="P32" s="101">
        <v>7200</v>
      </c>
    </row>
    <row r="33" spans="1:16" ht="10.5" customHeight="1" x14ac:dyDescent="0.25">
      <c r="A33" s="21" t="s">
        <v>74</v>
      </c>
      <c r="B33" s="78" t="s">
        <v>282</v>
      </c>
      <c r="C33" s="9">
        <v>2</v>
      </c>
      <c r="D33" s="9">
        <v>520</v>
      </c>
      <c r="E33" s="22">
        <v>1040</v>
      </c>
      <c r="F33" s="96">
        <v>1</v>
      </c>
      <c r="G33" s="97"/>
      <c r="H33" s="97">
        <v>1</v>
      </c>
      <c r="I33" s="97"/>
      <c r="J33" s="97">
        <v>1994</v>
      </c>
      <c r="K33" s="97"/>
      <c r="L33" s="97" t="s">
        <v>236</v>
      </c>
      <c r="M33" s="100">
        <v>44166</v>
      </c>
      <c r="N33" s="97">
        <f t="shared" si="1"/>
        <v>215</v>
      </c>
      <c r="O33" s="99">
        <f t="shared" si="0"/>
        <v>1</v>
      </c>
      <c r="P33" s="101">
        <v>3200</v>
      </c>
    </row>
    <row r="34" spans="1:16" ht="9.75" customHeight="1" x14ac:dyDescent="0.25">
      <c r="A34" s="21" t="s">
        <v>75</v>
      </c>
      <c r="B34" s="78" t="s">
        <v>283</v>
      </c>
      <c r="C34" s="9">
        <v>2</v>
      </c>
      <c r="D34" s="9">
        <v>158</v>
      </c>
      <c r="E34" s="9">
        <v>316</v>
      </c>
      <c r="F34" s="96">
        <v>0</v>
      </c>
      <c r="G34" s="97"/>
      <c r="H34" s="97"/>
      <c r="I34" s="97"/>
      <c r="J34" s="97" t="s">
        <v>235</v>
      </c>
      <c r="K34" s="97"/>
      <c r="L34" s="97"/>
      <c r="M34" s="100"/>
      <c r="N34" s="97"/>
      <c r="O34" s="99">
        <f t="shared" si="0"/>
        <v>2</v>
      </c>
      <c r="P34" s="101">
        <f>O34*1720</f>
        <v>3440</v>
      </c>
    </row>
    <row r="35" spans="1:16" ht="13.5" customHeight="1" x14ac:dyDescent="0.25">
      <c r="A35" s="21" t="s">
        <v>76</v>
      </c>
      <c r="B35" s="78" t="s">
        <v>284</v>
      </c>
      <c r="C35" s="9">
        <v>2</v>
      </c>
      <c r="D35" s="9">
        <v>650</v>
      </c>
      <c r="E35" s="22">
        <v>1300</v>
      </c>
      <c r="F35" s="96">
        <v>0</v>
      </c>
      <c r="G35" s="97"/>
      <c r="H35" s="97"/>
      <c r="I35" s="97"/>
      <c r="J35" s="97" t="s">
        <v>235</v>
      </c>
      <c r="K35" s="97"/>
      <c r="L35" s="97"/>
      <c r="M35" s="100"/>
      <c r="N35" s="97"/>
      <c r="O35" s="99">
        <f t="shared" si="0"/>
        <v>2</v>
      </c>
      <c r="P35" s="101">
        <f>O35*2400</f>
        <v>4800</v>
      </c>
    </row>
    <row r="36" spans="1:16" ht="12" customHeight="1" x14ac:dyDescent="0.25">
      <c r="A36" s="21" t="s">
        <v>77</v>
      </c>
      <c r="B36" s="78" t="s">
        <v>285</v>
      </c>
      <c r="C36" s="9">
        <v>2</v>
      </c>
      <c r="D36" s="9">
        <v>89</v>
      </c>
      <c r="E36" s="9">
        <v>178</v>
      </c>
      <c r="F36" s="96">
        <v>1</v>
      </c>
      <c r="G36" s="97"/>
      <c r="H36" s="97">
        <v>1</v>
      </c>
      <c r="I36" s="97"/>
      <c r="J36" s="97">
        <v>1994</v>
      </c>
      <c r="K36" s="97"/>
      <c r="L36" s="97" t="s">
        <v>236</v>
      </c>
      <c r="M36" s="100">
        <v>44166</v>
      </c>
      <c r="N36" s="97">
        <f t="shared" si="1"/>
        <v>215</v>
      </c>
      <c r="O36" s="99">
        <f t="shared" si="0"/>
        <v>1</v>
      </c>
      <c r="P36" s="101">
        <v>5300</v>
      </c>
    </row>
    <row r="37" spans="1:16" ht="11.1" customHeight="1" x14ac:dyDescent="0.25">
      <c r="A37" s="21" t="s">
        <v>78</v>
      </c>
      <c r="B37" s="78" t="s">
        <v>99</v>
      </c>
      <c r="C37" s="9">
        <v>2</v>
      </c>
      <c r="D37" s="9">
        <v>205</v>
      </c>
      <c r="E37" s="9">
        <v>410</v>
      </c>
      <c r="F37" s="96">
        <v>1</v>
      </c>
      <c r="G37" s="97"/>
      <c r="H37" s="97">
        <v>1</v>
      </c>
      <c r="I37" s="97"/>
      <c r="J37" s="97">
        <v>1994</v>
      </c>
      <c r="K37" s="97"/>
      <c r="L37" s="97" t="s">
        <v>236</v>
      </c>
      <c r="M37" s="100">
        <v>44166</v>
      </c>
      <c r="N37" s="97">
        <f t="shared" si="1"/>
        <v>215</v>
      </c>
      <c r="O37" s="99">
        <f t="shared" si="0"/>
        <v>1</v>
      </c>
      <c r="P37" s="101">
        <v>5300</v>
      </c>
    </row>
    <row r="38" spans="1:16" ht="11.1" customHeight="1" x14ac:dyDescent="0.25">
      <c r="A38" s="21" t="s">
        <v>79</v>
      </c>
      <c r="B38" s="78" t="s">
        <v>286</v>
      </c>
      <c r="C38" s="9">
        <v>2</v>
      </c>
      <c r="D38" s="9">
        <v>480</v>
      </c>
      <c r="E38" s="9">
        <v>960</v>
      </c>
      <c r="F38" s="96">
        <v>1</v>
      </c>
      <c r="G38" s="97"/>
      <c r="H38" s="97">
        <v>1</v>
      </c>
      <c r="I38" s="97"/>
      <c r="J38" s="97">
        <v>1995</v>
      </c>
      <c r="K38" s="97"/>
      <c r="L38" s="97" t="s">
        <v>236</v>
      </c>
      <c r="M38" s="100">
        <v>44166</v>
      </c>
      <c r="N38" s="97">
        <f t="shared" si="1"/>
        <v>215</v>
      </c>
      <c r="O38" s="99">
        <f t="shared" si="0"/>
        <v>1</v>
      </c>
      <c r="P38" s="101">
        <v>3900</v>
      </c>
    </row>
    <row r="39" spans="1:16" ht="11.1" customHeight="1" x14ac:dyDescent="0.25">
      <c r="A39" s="21" t="s">
        <v>80</v>
      </c>
      <c r="B39" s="78" t="s">
        <v>287</v>
      </c>
      <c r="C39" s="9">
        <v>2</v>
      </c>
      <c r="D39" s="9">
        <v>381</v>
      </c>
      <c r="E39" s="9">
        <v>762</v>
      </c>
      <c r="F39" s="96">
        <v>1</v>
      </c>
      <c r="G39" s="97"/>
      <c r="H39" s="97">
        <v>1</v>
      </c>
      <c r="I39" s="97"/>
      <c r="J39" s="97">
        <v>1994</v>
      </c>
      <c r="K39" s="97"/>
      <c r="L39" s="97" t="s">
        <v>236</v>
      </c>
      <c r="M39" s="100">
        <v>44166</v>
      </c>
      <c r="N39" s="97">
        <f t="shared" si="1"/>
        <v>215</v>
      </c>
      <c r="O39" s="99">
        <f t="shared" si="0"/>
        <v>1</v>
      </c>
      <c r="P39" s="101">
        <v>9700</v>
      </c>
    </row>
    <row r="40" spans="1:16" ht="11.1" customHeight="1" x14ac:dyDescent="0.25">
      <c r="A40" s="21" t="s">
        <v>81</v>
      </c>
      <c r="B40" s="78" t="s">
        <v>117</v>
      </c>
      <c r="C40" s="9">
        <v>2</v>
      </c>
      <c r="D40" s="9">
        <v>150</v>
      </c>
      <c r="E40" s="9">
        <v>300</v>
      </c>
      <c r="F40" s="96">
        <v>1</v>
      </c>
      <c r="G40" s="97"/>
      <c r="H40" s="97">
        <v>1</v>
      </c>
      <c r="I40" s="97"/>
      <c r="J40" s="97">
        <v>1994</v>
      </c>
      <c r="K40" s="97"/>
      <c r="L40" s="97" t="s">
        <v>236</v>
      </c>
      <c r="M40" s="100">
        <v>44166</v>
      </c>
      <c r="N40" s="97">
        <f t="shared" si="1"/>
        <v>215</v>
      </c>
      <c r="O40" s="99">
        <f t="shared" si="0"/>
        <v>1</v>
      </c>
      <c r="P40" s="101">
        <v>1560</v>
      </c>
    </row>
    <row r="41" spans="1:16" ht="11.1" customHeight="1" x14ac:dyDescent="0.25">
      <c r="A41" s="21" t="s">
        <v>82</v>
      </c>
      <c r="B41" s="78" t="s">
        <v>224</v>
      </c>
      <c r="C41" s="9">
        <v>2</v>
      </c>
      <c r="D41" s="9">
        <v>450</v>
      </c>
      <c r="E41" s="9">
        <v>900</v>
      </c>
      <c r="F41" s="96">
        <v>1</v>
      </c>
      <c r="G41" s="97"/>
      <c r="H41" s="97">
        <v>1</v>
      </c>
      <c r="I41" s="97"/>
      <c r="J41" s="97">
        <v>1994</v>
      </c>
      <c r="K41" s="97"/>
      <c r="L41" s="97" t="s">
        <v>236</v>
      </c>
      <c r="M41" s="100">
        <v>44166</v>
      </c>
      <c r="N41" s="97">
        <f t="shared" si="1"/>
        <v>215</v>
      </c>
      <c r="O41" s="99">
        <f t="shared" si="0"/>
        <v>1</v>
      </c>
      <c r="P41" s="101">
        <v>5800</v>
      </c>
    </row>
    <row r="42" spans="1:16" ht="11.1" customHeight="1" x14ac:dyDescent="0.25">
      <c r="A42" s="21" t="s">
        <v>83</v>
      </c>
      <c r="B42" s="78" t="s">
        <v>288</v>
      </c>
      <c r="C42" s="9">
        <v>2</v>
      </c>
      <c r="D42" s="22">
        <v>1337</v>
      </c>
      <c r="E42" s="22">
        <v>2674</v>
      </c>
      <c r="F42" s="96">
        <v>0</v>
      </c>
      <c r="G42" s="97"/>
      <c r="H42" s="97"/>
      <c r="I42" s="97"/>
      <c r="J42" s="97" t="s">
        <v>235</v>
      </c>
      <c r="K42" s="97"/>
      <c r="L42" s="97"/>
      <c r="M42" s="100"/>
      <c r="N42" s="97"/>
      <c r="O42" s="99">
        <f t="shared" si="0"/>
        <v>2</v>
      </c>
      <c r="P42" s="101">
        <f>O42*13400</f>
        <v>26800</v>
      </c>
    </row>
    <row r="43" spans="1:16" ht="11.1" customHeight="1" x14ac:dyDescent="0.25">
      <c r="A43" s="21" t="s">
        <v>84</v>
      </c>
      <c r="B43" s="78" t="s">
        <v>289</v>
      </c>
      <c r="C43" s="9">
        <v>2</v>
      </c>
      <c r="D43" s="9">
        <v>480</v>
      </c>
      <c r="E43" s="9">
        <v>960</v>
      </c>
      <c r="F43" s="96">
        <v>1</v>
      </c>
      <c r="G43" s="97"/>
      <c r="H43" s="97">
        <v>1</v>
      </c>
      <c r="I43" s="97"/>
      <c r="J43" s="97">
        <v>1994</v>
      </c>
      <c r="K43" s="97"/>
      <c r="L43" s="97" t="s">
        <v>236</v>
      </c>
      <c r="M43" s="100">
        <v>44166</v>
      </c>
      <c r="N43" s="97">
        <f t="shared" si="1"/>
        <v>215</v>
      </c>
      <c r="O43" s="99">
        <f t="shared" si="0"/>
        <v>1</v>
      </c>
      <c r="P43" s="101">
        <v>3950</v>
      </c>
    </row>
    <row r="44" spans="1:16" ht="11.1" customHeight="1" x14ac:dyDescent="0.25">
      <c r="A44" s="21" t="s">
        <v>85</v>
      </c>
      <c r="B44" s="78" t="s">
        <v>290</v>
      </c>
      <c r="C44" s="9">
        <v>2</v>
      </c>
      <c r="D44" s="9">
        <v>92</v>
      </c>
      <c r="E44" s="9">
        <v>184</v>
      </c>
      <c r="F44" s="96">
        <v>0</v>
      </c>
      <c r="G44" s="97"/>
      <c r="H44" s="97"/>
      <c r="I44" s="97"/>
      <c r="J44" s="97" t="s">
        <v>235</v>
      </c>
      <c r="K44" s="97"/>
      <c r="L44" s="97"/>
      <c r="M44" s="100"/>
      <c r="N44" s="97"/>
      <c r="O44" s="99">
        <f t="shared" si="0"/>
        <v>2</v>
      </c>
      <c r="P44" s="101">
        <f>O44*3350</f>
        <v>6700</v>
      </c>
    </row>
    <row r="45" spans="1:16" ht="11.1" customHeight="1" x14ac:dyDescent="0.25">
      <c r="A45" s="21" t="s">
        <v>86</v>
      </c>
      <c r="B45" s="78" t="s">
        <v>118</v>
      </c>
      <c r="C45" s="9">
        <v>2</v>
      </c>
      <c r="D45" s="9">
        <v>220</v>
      </c>
      <c r="E45" s="9">
        <v>440</v>
      </c>
      <c r="F45" s="96">
        <v>0</v>
      </c>
      <c r="G45" s="97"/>
      <c r="H45" s="97"/>
      <c r="I45" s="97"/>
      <c r="J45" s="97" t="s">
        <v>235</v>
      </c>
      <c r="K45" s="97"/>
      <c r="L45" s="97"/>
      <c r="M45" s="100"/>
      <c r="N45" s="97"/>
      <c r="O45" s="99">
        <f t="shared" si="0"/>
        <v>2</v>
      </c>
      <c r="P45" s="101">
        <f>O45*2700</f>
        <v>5400</v>
      </c>
    </row>
    <row r="46" spans="1:16" ht="11.1" customHeight="1" x14ac:dyDescent="0.25">
      <c r="A46" s="21" t="s">
        <v>87</v>
      </c>
      <c r="B46" s="78" t="s">
        <v>119</v>
      </c>
      <c r="C46" s="9">
        <v>2</v>
      </c>
      <c r="D46" s="9">
        <v>220</v>
      </c>
      <c r="E46" s="9">
        <v>440</v>
      </c>
      <c r="F46" s="96">
        <v>1</v>
      </c>
      <c r="G46" s="97"/>
      <c r="H46" s="97"/>
      <c r="I46" s="97">
        <v>1</v>
      </c>
      <c r="J46" s="97">
        <v>2005</v>
      </c>
      <c r="K46" s="97" t="s">
        <v>236</v>
      </c>
      <c r="L46" s="97"/>
      <c r="M46" s="100">
        <v>44166</v>
      </c>
      <c r="N46" s="97">
        <f t="shared" si="1"/>
        <v>215</v>
      </c>
      <c r="O46" s="99">
        <f t="shared" si="0"/>
        <v>1</v>
      </c>
      <c r="P46" s="101">
        <v>1950</v>
      </c>
    </row>
    <row r="47" spans="1:16" ht="11.1" customHeight="1" x14ac:dyDescent="0.25">
      <c r="A47" s="21" t="s">
        <v>88</v>
      </c>
      <c r="B47" s="78" t="s">
        <v>120</v>
      </c>
      <c r="C47" s="9">
        <v>2</v>
      </c>
      <c r="D47" s="9">
        <v>220</v>
      </c>
      <c r="E47" s="9">
        <v>440</v>
      </c>
      <c r="F47" s="96">
        <v>0</v>
      </c>
      <c r="G47" s="97"/>
      <c r="H47" s="97"/>
      <c r="I47" s="97"/>
      <c r="J47" s="97" t="s">
        <v>235</v>
      </c>
      <c r="K47" s="97"/>
      <c r="L47" s="97"/>
      <c r="M47" s="100"/>
      <c r="N47" s="97"/>
      <c r="O47" s="99">
        <f t="shared" si="0"/>
        <v>2</v>
      </c>
      <c r="P47" s="101">
        <f>O47*3390</f>
        <v>6780</v>
      </c>
    </row>
    <row r="48" spans="1:16" ht="11.1" customHeight="1" x14ac:dyDescent="0.25">
      <c r="A48" s="21" t="s">
        <v>89</v>
      </c>
      <c r="B48" s="78" t="s">
        <v>121</v>
      </c>
      <c r="C48" s="9">
        <v>2</v>
      </c>
      <c r="D48" s="9">
        <v>72</v>
      </c>
      <c r="E48" s="9">
        <v>144</v>
      </c>
      <c r="F48" s="96">
        <v>0</v>
      </c>
      <c r="G48" s="97"/>
      <c r="H48" s="97"/>
      <c r="I48" s="97"/>
      <c r="J48" s="97" t="s">
        <v>235</v>
      </c>
      <c r="K48" s="97"/>
      <c r="L48" s="97"/>
      <c r="M48" s="100"/>
      <c r="N48" s="97"/>
      <c r="O48" s="99">
        <f t="shared" si="0"/>
        <v>2</v>
      </c>
      <c r="P48" s="101">
        <f>O48*3310</f>
        <v>6620</v>
      </c>
    </row>
    <row r="49" spans="1:16" ht="11.1" customHeight="1" x14ac:dyDescent="0.25">
      <c r="A49" s="21" t="s">
        <v>90</v>
      </c>
      <c r="B49" s="78" t="s">
        <v>122</v>
      </c>
      <c r="C49" s="9">
        <v>2</v>
      </c>
      <c r="D49" s="9">
        <v>220</v>
      </c>
      <c r="E49" s="9">
        <v>440</v>
      </c>
      <c r="F49" s="96">
        <v>1</v>
      </c>
      <c r="G49" s="97"/>
      <c r="H49" s="97">
        <v>1</v>
      </c>
      <c r="I49" s="97"/>
      <c r="J49" s="97">
        <v>1995</v>
      </c>
      <c r="K49" s="97" t="s">
        <v>236</v>
      </c>
      <c r="L49" s="97"/>
      <c r="M49" s="100">
        <v>44166</v>
      </c>
      <c r="N49" s="97">
        <f t="shared" si="1"/>
        <v>215</v>
      </c>
      <c r="O49" s="99">
        <f t="shared" si="0"/>
        <v>1</v>
      </c>
      <c r="P49" s="101">
        <v>1960</v>
      </c>
    </row>
    <row r="50" spans="1:16" ht="11.1" customHeight="1" x14ac:dyDescent="0.25">
      <c r="A50" s="21" t="s">
        <v>91</v>
      </c>
      <c r="B50" s="78" t="s">
        <v>123</v>
      </c>
      <c r="C50" s="9">
        <v>2</v>
      </c>
      <c r="D50" s="9">
        <v>360</v>
      </c>
      <c r="E50" s="9">
        <v>720</v>
      </c>
      <c r="F50" s="96">
        <v>1</v>
      </c>
      <c r="G50" s="97"/>
      <c r="H50" s="97"/>
      <c r="I50" s="97">
        <v>1</v>
      </c>
      <c r="J50" s="97">
        <v>2005</v>
      </c>
      <c r="K50" s="97"/>
      <c r="L50" s="97" t="s">
        <v>236</v>
      </c>
      <c r="M50" s="100">
        <v>44166</v>
      </c>
      <c r="N50" s="97">
        <f t="shared" si="1"/>
        <v>215</v>
      </c>
      <c r="O50" s="99">
        <f t="shared" si="0"/>
        <v>1</v>
      </c>
      <c r="P50" s="101">
        <v>3100</v>
      </c>
    </row>
    <row r="51" spans="1:16" ht="11.1" customHeight="1" x14ac:dyDescent="0.25">
      <c r="A51" s="21" t="s">
        <v>92</v>
      </c>
      <c r="B51" s="78" t="s">
        <v>291</v>
      </c>
      <c r="C51" s="9">
        <v>2</v>
      </c>
      <c r="D51" s="9">
        <v>386</v>
      </c>
      <c r="E51" s="9">
        <v>772</v>
      </c>
      <c r="F51" s="96">
        <v>1</v>
      </c>
      <c r="G51" s="97"/>
      <c r="H51" s="97">
        <v>1</v>
      </c>
      <c r="I51" s="97"/>
      <c r="J51" s="97">
        <v>1994</v>
      </c>
      <c r="K51" s="97"/>
      <c r="L51" s="97" t="s">
        <v>236</v>
      </c>
      <c r="M51" s="100">
        <v>44166</v>
      </c>
      <c r="N51" s="97">
        <f t="shared" si="1"/>
        <v>215</v>
      </c>
      <c r="O51" s="99">
        <f t="shared" si="0"/>
        <v>1</v>
      </c>
      <c r="P51" s="101">
        <v>3950</v>
      </c>
    </row>
    <row r="52" spans="1:16" ht="11.1" customHeight="1" x14ac:dyDescent="0.25">
      <c r="A52" s="21" t="s">
        <v>93</v>
      </c>
      <c r="B52" s="78" t="s">
        <v>124</v>
      </c>
      <c r="C52" s="9">
        <v>1</v>
      </c>
      <c r="D52" s="22">
        <v>4700</v>
      </c>
      <c r="E52" s="22">
        <v>4700</v>
      </c>
      <c r="F52" s="96">
        <v>0</v>
      </c>
      <c r="G52" s="97"/>
      <c r="H52" s="97"/>
      <c r="I52" s="97"/>
      <c r="J52" s="97" t="s">
        <v>235</v>
      </c>
      <c r="K52" s="97"/>
      <c r="L52" s="97"/>
      <c r="M52" s="100"/>
      <c r="N52" s="97"/>
      <c r="O52" s="99">
        <f t="shared" si="0"/>
        <v>1</v>
      </c>
      <c r="P52" s="101">
        <v>3500</v>
      </c>
    </row>
    <row r="53" spans="1:16" x14ac:dyDescent="0.25">
      <c r="P53" s="105">
        <f>SUM(P7:P52)</f>
        <v>1669710</v>
      </c>
    </row>
    <row r="54" spans="1:16" x14ac:dyDescent="0.25">
      <c r="A54" s="67" t="s">
        <v>46</v>
      </c>
      <c r="B54" s="67"/>
      <c r="C54" s="67"/>
      <c r="D54" s="67"/>
      <c r="E54" s="67"/>
    </row>
    <row r="55" spans="1:16" x14ac:dyDescent="0.25">
      <c r="A55" s="67" t="s">
        <v>45</v>
      </c>
      <c r="B55" s="67"/>
      <c r="C55" s="67"/>
      <c r="D55" s="67"/>
      <c r="E55" s="67"/>
      <c r="F55" s="53" t="s">
        <v>209</v>
      </c>
      <c r="G55" s="54" t="s">
        <v>210</v>
      </c>
      <c r="H55" s="54"/>
      <c r="I55" s="54"/>
      <c r="J55" s="49" t="s">
        <v>218</v>
      </c>
      <c r="K55" s="51" t="s">
        <v>215</v>
      </c>
      <c r="L55" s="52"/>
      <c r="M55" s="55" t="s">
        <v>211</v>
      </c>
      <c r="N55" s="55" t="s">
        <v>213</v>
      </c>
      <c r="O55" s="55" t="s">
        <v>212</v>
      </c>
      <c r="P55" s="55" t="s">
        <v>214</v>
      </c>
    </row>
    <row r="56" spans="1:16" ht="24" customHeight="1" x14ac:dyDescent="0.25">
      <c r="A56" s="20" t="s">
        <v>2</v>
      </c>
      <c r="B56" s="39" t="s">
        <v>94</v>
      </c>
      <c r="C56" s="41"/>
      <c r="D56" s="37" t="s">
        <v>101</v>
      </c>
      <c r="E56" s="38"/>
      <c r="F56" s="53"/>
      <c r="G56" s="31" t="s">
        <v>205</v>
      </c>
      <c r="H56" s="31" t="s">
        <v>206</v>
      </c>
      <c r="I56" s="31" t="s">
        <v>207</v>
      </c>
      <c r="J56" s="50"/>
      <c r="K56" s="31" t="s">
        <v>216</v>
      </c>
      <c r="L56" s="31" t="s">
        <v>217</v>
      </c>
      <c r="M56" s="55"/>
      <c r="N56" s="55"/>
      <c r="O56" s="55"/>
      <c r="P56" s="55"/>
    </row>
    <row r="57" spans="1:16" x14ac:dyDescent="0.25">
      <c r="A57" s="20" t="s">
        <v>3</v>
      </c>
      <c r="B57" s="39" t="s">
        <v>95</v>
      </c>
      <c r="C57" s="40"/>
      <c r="D57" s="40"/>
      <c r="E57" s="41"/>
    </row>
    <row r="58" spans="1:16" x14ac:dyDescent="0.25">
      <c r="A58" s="2" t="s">
        <v>4</v>
      </c>
      <c r="B58" s="154" t="s">
        <v>0</v>
      </c>
      <c r="C58" s="4" t="s">
        <v>35</v>
      </c>
      <c r="D58" s="5" t="s">
        <v>7</v>
      </c>
      <c r="E58" s="23" t="s">
        <v>8</v>
      </c>
    </row>
    <row r="59" spans="1:16" x14ac:dyDescent="0.25">
      <c r="A59" s="21" t="s">
        <v>102</v>
      </c>
      <c r="B59" s="78" t="s">
        <v>292</v>
      </c>
      <c r="C59" s="24">
        <v>2</v>
      </c>
      <c r="D59" s="9">
        <v>800</v>
      </c>
      <c r="E59" s="22">
        <v>1600</v>
      </c>
      <c r="F59" s="96">
        <v>1</v>
      </c>
      <c r="G59" s="97"/>
      <c r="H59" s="97">
        <v>1</v>
      </c>
      <c r="I59" s="97"/>
      <c r="J59" s="97">
        <v>1994</v>
      </c>
      <c r="K59" s="97"/>
      <c r="L59" s="97" t="s">
        <v>236</v>
      </c>
      <c r="M59" s="100">
        <v>44166</v>
      </c>
      <c r="N59" s="97">
        <f t="shared" ref="N59:N60" si="2">215/F59</f>
        <v>215</v>
      </c>
      <c r="O59" s="99">
        <f t="shared" ref="O59:O62" si="3">C59-F59</f>
        <v>1</v>
      </c>
      <c r="P59" s="106">
        <v>13500</v>
      </c>
    </row>
    <row r="60" spans="1:16" x14ac:dyDescent="0.25">
      <c r="A60" s="21" t="s">
        <v>103</v>
      </c>
      <c r="B60" s="78" t="s">
        <v>104</v>
      </c>
      <c r="C60" s="24">
        <v>2</v>
      </c>
      <c r="D60" s="9">
        <v>386</v>
      </c>
      <c r="E60" s="9">
        <v>772</v>
      </c>
      <c r="F60" s="96">
        <v>1</v>
      </c>
      <c r="G60" s="97"/>
      <c r="H60" s="97">
        <v>1</v>
      </c>
      <c r="I60" s="97"/>
      <c r="J60" s="97">
        <v>2005</v>
      </c>
      <c r="K60" s="97"/>
      <c r="L60" s="97" t="s">
        <v>236</v>
      </c>
      <c r="M60" s="100">
        <v>44166</v>
      </c>
      <c r="N60" s="97">
        <f t="shared" si="2"/>
        <v>215</v>
      </c>
      <c r="O60" s="99">
        <f t="shared" si="3"/>
        <v>1</v>
      </c>
      <c r="P60" s="106">
        <v>1100</v>
      </c>
    </row>
    <row r="61" spans="1:16" x14ac:dyDescent="0.25">
      <c r="A61" s="21" t="s">
        <v>105</v>
      </c>
      <c r="B61" s="78" t="s">
        <v>225</v>
      </c>
      <c r="C61" s="24">
        <v>2</v>
      </c>
      <c r="D61" s="22">
        <v>1300</v>
      </c>
      <c r="E61" s="22">
        <v>2600</v>
      </c>
      <c r="F61" s="96">
        <v>0</v>
      </c>
      <c r="G61" s="97"/>
      <c r="H61" s="97"/>
      <c r="I61" s="97"/>
      <c r="J61" s="97" t="s">
        <v>235</v>
      </c>
      <c r="K61" s="97"/>
      <c r="L61" s="97"/>
      <c r="M61" s="98"/>
      <c r="N61" s="97"/>
      <c r="O61" s="99">
        <f t="shared" si="3"/>
        <v>2</v>
      </c>
      <c r="P61" s="106">
        <f>O61*6900</f>
        <v>13800</v>
      </c>
    </row>
    <row r="62" spans="1:16" x14ac:dyDescent="0.25">
      <c r="A62" s="21" t="s">
        <v>106</v>
      </c>
      <c r="B62" s="78" t="s">
        <v>293</v>
      </c>
      <c r="C62" s="24">
        <v>1</v>
      </c>
      <c r="D62" s="22">
        <v>1800</v>
      </c>
      <c r="E62" s="22">
        <v>1800</v>
      </c>
      <c r="F62" s="96">
        <v>1</v>
      </c>
      <c r="G62" s="97"/>
      <c r="H62" s="97">
        <v>1</v>
      </c>
      <c r="I62" s="97"/>
      <c r="J62" s="97">
        <v>1994</v>
      </c>
      <c r="K62" s="97"/>
      <c r="L62" s="97" t="s">
        <v>236</v>
      </c>
      <c r="M62" s="100">
        <v>44166</v>
      </c>
      <c r="N62" s="97">
        <v>215</v>
      </c>
      <c r="O62" s="99">
        <f t="shared" si="3"/>
        <v>0</v>
      </c>
      <c r="P62" s="106"/>
    </row>
    <row r="63" spans="1:16" x14ac:dyDescent="0.25">
      <c r="A63" s="107"/>
      <c r="B63" s="155"/>
      <c r="C63" s="108"/>
      <c r="D63" s="109"/>
      <c r="E63" s="110"/>
      <c r="F63" s="111"/>
      <c r="G63" s="112"/>
      <c r="H63" s="112"/>
      <c r="I63" s="112"/>
      <c r="J63" s="112"/>
      <c r="K63" s="112"/>
      <c r="L63" s="112"/>
      <c r="M63" s="113"/>
      <c r="N63" s="112"/>
      <c r="O63" s="114"/>
      <c r="P63" s="105">
        <f>SUM(P59:P62)</f>
        <v>28400</v>
      </c>
    </row>
    <row r="64" spans="1:16" x14ac:dyDescent="0.25">
      <c r="A64" s="42" t="s">
        <v>27</v>
      </c>
      <c r="B64" s="43"/>
      <c r="C64" s="43"/>
      <c r="D64" s="43"/>
      <c r="E64" s="44"/>
      <c r="J64" s="34"/>
      <c r="K64" s="34"/>
      <c r="L64" s="34"/>
    </row>
    <row r="65" spans="1:16" x14ac:dyDescent="0.25">
      <c r="A65" s="21" t="s">
        <v>9</v>
      </c>
      <c r="B65" s="78" t="s">
        <v>226</v>
      </c>
      <c r="C65" s="9">
        <v>1</v>
      </c>
      <c r="D65" s="9">
        <v>120</v>
      </c>
      <c r="E65" s="9">
        <v>120</v>
      </c>
      <c r="F65" s="96">
        <v>0</v>
      </c>
      <c r="G65" s="97"/>
      <c r="H65" s="97"/>
      <c r="I65" s="97"/>
      <c r="J65" s="97" t="s">
        <v>235</v>
      </c>
      <c r="K65" s="98"/>
      <c r="L65" s="98"/>
      <c r="M65" s="98"/>
      <c r="N65" s="98"/>
      <c r="O65" s="97">
        <v>1</v>
      </c>
      <c r="P65" s="106">
        <v>500</v>
      </c>
    </row>
    <row r="66" spans="1:16" x14ac:dyDescent="0.25">
      <c r="A66" s="21" t="s">
        <v>19</v>
      </c>
      <c r="B66" s="78" t="s">
        <v>20</v>
      </c>
      <c r="C66" s="9">
        <v>1</v>
      </c>
      <c r="D66" s="9">
        <v>215</v>
      </c>
      <c r="E66" s="9">
        <v>215</v>
      </c>
      <c r="F66" s="96">
        <v>1</v>
      </c>
      <c r="G66" s="97"/>
      <c r="H66" s="97"/>
      <c r="I66" s="97">
        <v>1</v>
      </c>
      <c r="J66" s="97">
        <v>2015</v>
      </c>
      <c r="K66" s="98"/>
      <c r="L66" s="98"/>
      <c r="M66" s="97">
        <v>2015</v>
      </c>
      <c r="N66" s="98"/>
      <c r="O66" s="97">
        <v>1</v>
      </c>
      <c r="P66" s="106">
        <v>1800</v>
      </c>
    </row>
    <row r="67" spans="1:16" x14ac:dyDescent="0.25">
      <c r="A67" s="107"/>
      <c r="B67" s="155"/>
      <c r="C67" s="77"/>
      <c r="D67" s="77"/>
      <c r="E67" s="115"/>
      <c r="F67" s="111"/>
      <c r="G67" s="112"/>
      <c r="H67" s="112"/>
      <c r="I67" s="112"/>
      <c r="J67" s="112"/>
      <c r="K67" s="116"/>
      <c r="L67" s="116"/>
      <c r="M67" s="116"/>
      <c r="N67" s="116"/>
      <c r="O67" s="112"/>
      <c r="P67" s="105">
        <f>SUM(P65:P66)</f>
        <v>2300</v>
      </c>
    </row>
    <row r="68" spans="1:16" x14ac:dyDescent="0.25">
      <c r="A68" s="42" t="s">
        <v>10</v>
      </c>
      <c r="B68" s="43"/>
      <c r="C68" s="43"/>
      <c r="D68" s="43"/>
      <c r="E68" s="44"/>
    </row>
    <row r="69" spans="1:16" x14ac:dyDescent="0.25">
      <c r="A69" s="21" t="s">
        <v>14</v>
      </c>
      <c r="B69" s="78" t="s">
        <v>227</v>
      </c>
      <c r="C69" s="9">
        <v>1</v>
      </c>
      <c r="D69" s="9">
        <v>35</v>
      </c>
      <c r="E69" s="9">
        <v>35</v>
      </c>
      <c r="F69" s="96">
        <v>2</v>
      </c>
      <c r="G69" s="97"/>
      <c r="H69" s="97">
        <v>2</v>
      </c>
      <c r="I69" s="97"/>
      <c r="J69" s="117">
        <v>2005</v>
      </c>
      <c r="K69" s="98"/>
      <c r="L69" s="97" t="s">
        <v>236</v>
      </c>
      <c r="M69" s="100">
        <v>44166</v>
      </c>
      <c r="N69" s="97"/>
      <c r="O69" s="97">
        <v>2</v>
      </c>
      <c r="P69" s="106">
        <f>O69*770</f>
        <v>1540</v>
      </c>
    </row>
    <row r="70" spans="1:16" x14ac:dyDescent="0.25">
      <c r="A70" s="21" t="s">
        <v>107</v>
      </c>
      <c r="B70" s="78" t="s">
        <v>294</v>
      </c>
      <c r="C70" s="9">
        <v>6</v>
      </c>
      <c r="D70" s="22">
        <v>1200</v>
      </c>
      <c r="E70" s="22">
        <v>7200</v>
      </c>
      <c r="F70" s="96">
        <v>0</v>
      </c>
      <c r="G70" s="97"/>
      <c r="H70" s="97"/>
      <c r="I70" s="97"/>
      <c r="J70" s="97" t="s">
        <v>235</v>
      </c>
      <c r="K70" s="98"/>
      <c r="L70" s="97"/>
      <c r="M70" s="97"/>
      <c r="N70" s="97">
        <v>5</v>
      </c>
      <c r="O70" s="97">
        <v>4</v>
      </c>
      <c r="P70" s="106">
        <f>O70*1600</f>
        <v>6400</v>
      </c>
    </row>
    <row r="71" spans="1:16" x14ac:dyDescent="0.25">
      <c r="A71" s="21" t="s">
        <v>12</v>
      </c>
      <c r="B71" s="78" t="s">
        <v>13</v>
      </c>
      <c r="C71" s="9">
        <v>1</v>
      </c>
      <c r="D71" s="9">
        <v>60</v>
      </c>
      <c r="E71" s="9">
        <v>60</v>
      </c>
      <c r="F71" s="96">
        <v>2</v>
      </c>
      <c r="G71" s="97"/>
      <c r="H71" s="97">
        <v>2</v>
      </c>
      <c r="I71" s="97"/>
      <c r="J71" s="97">
        <v>2015</v>
      </c>
      <c r="K71" s="98"/>
      <c r="L71" s="97" t="s">
        <v>236</v>
      </c>
      <c r="M71" s="100">
        <v>44166</v>
      </c>
      <c r="N71" s="97"/>
      <c r="O71" s="97">
        <v>0</v>
      </c>
      <c r="P71" s="106"/>
    </row>
    <row r="72" spans="1:16" x14ac:dyDescent="0.25">
      <c r="A72" s="21" t="s">
        <v>16</v>
      </c>
      <c r="B72" s="78" t="s">
        <v>17</v>
      </c>
      <c r="C72" s="9">
        <v>27</v>
      </c>
      <c r="D72" s="9">
        <v>120</v>
      </c>
      <c r="E72" s="22">
        <v>3240</v>
      </c>
      <c r="F72" s="96">
        <v>1</v>
      </c>
      <c r="G72" s="97"/>
      <c r="H72" s="97">
        <v>1</v>
      </c>
      <c r="I72" s="97"/>
      <c r="J72" s="97">
        <v>2015</v>
      </c>
      <c r="K72" s="98"/>
      <c r="L72" s="97" t="s">
        <v>236</v>
      </c>
      <c r="M72" s="100">
        <v>44166</v>
      </c>
      <c r="N72" s="97"/>
      <c r="O72" s="97">
        <v>10</v>
      </c>
      <c r="P72" s="106">
        <f>O72*700</f>
        <v>7000</v>
      </c>
    </row>
    <row r="73" spans="1:16" x14ac:dyDescent="0.25">
      <c r="A73" s="21" t="s">
        <v>11</v>
      </c>
      <c r="B73" s="78" t="s">
        <v>295</v>
      </c>
      <c r="C73" s="9">
        <v>40</v>
      </c>
      <c r="D73" s="9">
        <v>30</v>
      </c>
      <c r="E73" s="22">
        <v>1200</v>
      </c>
      <c r="F73" s="96">
        <v>0</v>
      </c>
      <c r="G73" s="97"/>
      <c r="H73" s="97"/>
      <c r="I73" s="97"/>
      <c r="J73" s="97" t="s">
        <v>235</v>
      </c>
      <c r="K73" s="98"/>
      <c r="L73" s="97"/>
      <c r="M73" s="97"/>
      <c r="N73" s="97">
        <v>1</v>
      </c>
      <c r="O73" s="97">
        <v>20</v>
      </c>
      <c r="P73" s="106">
        <f>O73*700</f>
        <v>14000</v>
      </c>
    </row>
    <row r="74" spans="1:16" x14ac:dyDescent="0.25">
      <c r="A74" s="21"/>
      <c r="B74" s="78"/>
      <c r="C74" s="9"/>
      <c r="D74" s="9"/>
      <c r="E74" s="22"/>
      <c r="F74" s="96"/>
      <c r="G74" s="97"/>
      <c r="H74" s="97"/>
      <c r="I74" s="97"/>
      <c r="J74" s="97"/>
      <c r="K74" s="98"/>
      <c r="L74" s="97"/>
      <c r="M74" s="97"/>
      <c r="N74" s="97"/>
      <c r="O74" s="97"/>
      <c r="P74" s="105">
        <f>SUM(P69:P73)</f>
        <v>28940</v>
      </c>
    </row>
    <row r="75" spans="1:16" x14ac:dyDescent="0.25">
      <c r="A75" s="65" t="s">
        <v>108</v>
      </c>
      <c r="B75" s="65"/>
      <c r="C75" s="65"/>
      <c r="D75" s="65"/>
      <c r="E75" s="15">
        <v>105728</v>
      </c>
      <c r="F75" s="96"/>
      <c r="G75" s="97"/>
      <c r="H75" s="97"/>
      <c r="I75" s="97"/>
      <c r="J75" s="97"/>
      <c r="K75" s="98"/>
      <c r="L75" s="118" t="s">
        <v>296</v>
      </c>
      <c r="M75" s="124"/>
      <c r="N75" s="124"/>
      <c r="O75" s="119"/>
      <c r="P75" s="105">
        <f>P74+P67+P53</f>
        <v>1700950</v>
      </c>
    </row>
    <row r="78" spans="1:16" ht="15" customHeight="1" x14ac:dyDescent="0.25">
      <c r="A78" s="68" t="s">
        <v>46</v>
      </c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</row>
    <row r="79" spans="1:16" ht="15" customHeight="1" x14ac:dyDescent="0.25">
      <c r="A79" s="68" t="s">
        <v>100</v>
      </c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</row>
    <row r="80" spans="1:16" ht="24" customHeight="1" x14ac:dyDescent="0.25">
      <c r="A80" s="30" t="s">
        <v>125</v>
      </c>
      <c r="B80" s="59" t="s">
        <v>344</v>
      </c>
      <c r="C80" s="60"/>
      <c r="D80" s="37" t="s">
        <v>186</v>
      </c>
      <c r="E80" s="38"/>
    </row>
    <row r="81" spans="1:16" ht="18" customHeight="1" x14ac:dyDescent="0.25">
      <c r="A81" s="30" t="s">
        <v>126</v>
      </c>
      <c r="B81" s="60" t="s">
        <v>95</v>
      </c>
      <c r="C81" s="60"/>
      <c r="D81" s="60"/>
      <c r="E81" s="60"/>
      <c r="F81" s="53" t="s">
        <v>209</v>
      </c>
      <c r="G81" s="54" t="s">
        <v>210</v>
      </c>
      <c r="H81" s="54"/>
      <c r="I81" s="54"/>
      <c r="J81" s="49" t="s">
        <v>218</v>
      </c>
      <c r="K81" s="51" t="s">
        <v>215</v>
      </c>
      <c r="L81" s="52"/>
      <c r="M81" s="55" t="s">
        <v>211</v>
      </c>
      <c r="N81" s="55" t="s">
        <v>213</v>
      </c>
      <c r="O81" s="55" t="s">
        <v>212</v>
      </c>
      <c r="P81" s="55" t="s">
        <v>214</v>
      </c>
    </row>
    <row r="82" spans="1:16" ht="18" customHeight="1" x14ac:dyDescent="0.25">
      <c r="A82" s="25" t="s">
        <v>127</v>
      </c>
      <c r="B82" s="87" t="s">
        <v>0</v>
      </c>
      <c r="C82" s="26" t="s">
        <v>128</v>
      </c>
      <c r="D82" s="26" t="s">
        <v>129</v>
      </c>
      <c r="E82" s="25" t="s">
        <v>130</v>
      </c>
      <c r="F82" s="53"/>
      <c r="G82" s="31" t="s">
        <v>205</v>
      </c>
      <c r="H82" s="31" t="s">
        <v>206</v>
      </c>
      <c r="I82" s="31" t="s">
        <v>207</v>
      </c>
      <c r="J82" s="50"/>
      <c r="K82" s="31" t="s">
        <v>216</v>
      </c>
      <c r="L82" s="31" t="s">
        <v>217</v>
      </c>
      <c r="M82" s="55"/>
      <c r="N82" s="55"/>
      <c r="O82" s="55"/>
      <c r="P82" s="55"/>
    </row>
    <row r="83" spans="1:16" x14ac:dyDescent="0.25">
      <c r="A83" s="65" t="s">
        <v>23</v>
      </c>
      <c r="B83" s="65"/>
      <c r="C83" s="65"/>
      <c r="D83" s="65"/>
      <c r="E83" s="65"/>
    </row>
    <row r="84" spans="1:16" x14ac:dyDescent="0.25">
      <c r="A84" s="7" t="s">
        <v>131</v>
      </c>
      <c r="B84" s="156" t="s">
        <v>313</v>
      </c>
      <c r="C84" s="27">
        <v>2</v>
      </c>
      <c r="D84" s="27">
        <v>307</v>
      </c>
      <c r="E84" s="11">
        <v>614</v>
      </c>
      <c r="F84" s="120">
        <v>0</v>
      </c>
      <c r="G84" s="97"/>
      <c r="H84" s="97"/>
      <c r="I84" s="97"/>
      <c r="J84" s="97" t="s">
        <v>235</v>
      </c>
      <c r="K84" s="97"/>
      <c r="L84" s="97"/>
      <c r="M84" s="97"/>
      <c r="N84" s="97"/>
      <c r="O84" s="99">
        <f>C84-F84</f>
        <v>2</v>
      </c>
      <c r="P84" s="106">
        <v>810</v>
      </c>
    </row>
    <row r="85" spans="1:16" x14ac:dyDescent="0.25">
      <c r="A85" s="7" t="s">
        <v>132</v>
      </c>
      <c r="B85" s="156" t="s">
        <v>314</v>
      </c>
      <c r="C85" s="27">
        <v>5</v>
      </c>
      <c r="D85" s="27">
        <v>165</v>
      </c>
      <c r="E85" s="11">
        <v>825</v>
      </c>
      <c r="F85" s="120">
        <v>0</v>
      </c>
      <c r="G85" s="97"/>
      <c r="H85" s="97"/>
      <c r="I85" s="97"/>
      <c r="J85" s="97" t="s">
        <v>235</v>
      </c>
      <c r="K85" s="97"/>
      <c r="L85" s="97"/>
      <c r="M85" s="97"/>
      <c r="N85" s="97"/>
      <c r="O85" s="99">
        <f t="shared" ref="O85:O134" si="4">C85-F85</f>
        <v>5</v>
      </c>
      <c r="P85" s="106">
        <f>O85*1100</f>
        <v>5500</v>
      </c>
    </row>
    <row r="86" spans="1:16" x14ac:dyDescent="0.25">
      <c r="A86" s="7" t="s">
        <v>133</v>
      </c>
      <c r="B86" s="156" t="s">
        <v>228</v>
      </c>
      <c r="C86" s="27">
        <v>10</v>
      </c>
      <c r="D86" s="27">
        <v>33</v>
      </c>
      <c r="E86" s="11">
        <v>330</v>
      </c>
      <c r="F86" s="120">
        <v>0</v>
      </c>
      <c r="G86" s="97"/>
      <c r="H86" s="97"/>
      <c r="I86" s="97"/>
      <c r="J86" s="97" t="s">
        <v>235</v>
      </c>
      <c r="K86" s="97"/>
      <c r="L86" s="97"/>
      <c r="M86" s="100"/>
      <c r="N86" s="97"/>
      <c r="O86" s="99">
        <f t="shared" si="4"/>
        <v>10</v>
      </c>
      <c r="P86" s="106">
        <f>O86*1160</f>
        <v>11600</v>
      </c>
    </row>
    <row r="87" spans="1:16" x14ac:dyDescent="0.25">
      <c r="A87" s="7" t="s">
        <v>134</v>
      </c>
      <c r="B87" s="156" t="s">
        <v>315</v>
      </c>
      <c r="C87" s="27">
        <v>1</v>
      </c>
      <c r="D87" s="28">
        <v>2400</v>
      </c>
      <c r="E87" s="13">
        <v>2400</v>
      </c>
      <c r="F87" s="120">
        <v>0</v>
      </c>
      <c r="G87" s="97"/>
      <c r="H87" s="97"/>
      <c r="I87" s="97"/>
      <c r="J87" s="97" t="s">
        <v>235</v>
      </c>
      <c r="K87" s="97"/>
      <c r="L87" s="97"/>
      <c r="M87" s="97"/>
      <c r="N87" s="97"/>
      <c r="O87" s="99">
        <f t="shared" si="4"/>
        <v>1</v>
      </c>
      <c r="P87" s="106">
        <v>19600</v>
      </c>
    </row>
    <row r="88" spans="1:16" x14ac:dyDescent="0.25">
      <c r="A88" s="7" t="s">
        <v>135</v>
      </c>
      <c r="B88" s="156" t="s">
        <v>316</v>
      </c>
      <c r="C88" s="27">
        <v>10</v>
      </c>
      <c r="D88" s="28">
        <v>1100</v>
      </c>
      <c r="E88" s="13">
        <v>11000</v>
      </c>
      <c r="F88" s="120">
        <v>1</v>
      </c>
      <c r="G88" s="97"/>
      <c r="H88" s="97">
        <v>1</v>
      </c>
      <c r="I88" s="97"/>
      <c r="J88" s="97">
        <v>2004</v>
      </c>
      <c r="K88" s="97" t="s">
        <v>236</v>
      </c>
      <c r="L88" s="97"/>
      <c r="M88" s="100">
        <v>44197</v>
      </c>
      <c r="N88" s="97">
        <f t="shared" ref="N88:N134" si="5">215/F88</f>
        <v>215</v>
      </c>
      <c r="O88" s="99">
        <v>10</v>
      </c>
      <c r="P88" s="106">
        <f>O88*3300</f>
        <v>33000</v>
      </c>
    </row>
    <row r="89" spans="1:16" x14ac:dyDescent="0.25">
      <c r="A89" s="7" t="s">
        <v>136</v>
      </c>
      <c r="B89" s="156" t="s">
        <v>317</v>
      </c>
      <c r="C89" s="27">
        <v>10</v>
      </c>
      <c r="D89" s="27">
        <v>47</v>
      </c>
      <c r="E89" s="11">
        <v>470</v>
      </c>
      <c r="F89" s="120">
        <v>2</v>
      </c>
      <c r="G89" s="97"/>
      <c r="H89" s="97">
        <v>2</v>
      </c>
      <c r="I89" s="97"/>
      <c r="J89" s="97">
        <v>2005</v>
      </c>
      <c r="K89" s="97"/>
      <c r="L89" s="97" t="s">
        <v>236</v>
      </c>
      <c r="M89" s="100">
        <v>44197</v>
      </c>
      <c r="N89" s="97">
        <v>107</v>
      </c>
      <c r="O89" s="99">
        <f t="shared" si="4"/>
        <v>8</v>
      </c>
      <c r="P89" s="106">
        <f>O89*140</f>
        <v>1120</v>
      </c>
    </row>
    <row r="90" spans="1:16" x14ac:dyDescent="0.25">
      <c r="A90" s="7" t="s">
        <v>137</v>
      </c>
      <c r="B90" s="156" t="s">
        <v>318</v>
      </c>
      <c r="C90" s="27">
        <v>10</v>
      </c>
      <c r="D90" s="27">
        <v>60</v>
      </c>
      <c r="E90" s="11">
        <v>600</v>
      </c>
      <c r="F90" s="120">
        <v>1</v>
      </c>
      <c r="G90" s="97"/>
      <c r="H90" s="97">
        <v>1</v>
      </c>
      <c r="I90" s="97"/>
      <c r="J90" s="97">
        <v>2005</v>
      </c>
      <c r="K90" s="97"/>
      <c r="L90" s="97" t="s">
        <v>236</v>
      </c>
      <c r="M90" s="100">
        <v>44197</v>
      </c>
      <c r="N90" s="97">
        <f t="shared" si="5"/>
        <v>215</v>
      </c>
      <c r="O90" s="99">
        <f t="shared" si="4"/>
        <v>9</v>
      </c>
      <c r="P90" s="106">
        <f>O90*880</f>
        <v>7920</v>
      </c>
    </row>
    <row r="91" spans="1:16" x14ac:dyDescent="0.25">
      <c r="A91" s="7" t="s">
        <v>138</v>
      </c>
      <c r="B91" s="156" t="s">
        <v>319</v>
      </c>
      <c r="C91" s="27">
        <v>10</v>
      </c>
      <c r="D91" s="27">
        <v>6</v>
      </c>
      <c r="E91" s="11">
        <v>60</v>
      </c>
      <c r="F91" s="120">
        <v>1</v>
      </c>
      <c r="G91" s="97"/>
      <c r="H91" s="97">
        <v>1</v>
      </c>
      <c r="I91" s="97"/>
      <c r="J91" s="97">
        <v>2005</v>
      </c>
      <c r="K91" s="97"/>
      <c r="L91" s="97" t="s">
        <v>236</v>
      </c>
      <c r="M91" s="100">
        <v>44197</v>
      </c>
      <c r="N91" s="97">
        <f t="shared" si="5"/>
        <v>215</v>
      </c>
      <c r="O91" s="99">
        <f t="shared" si="4"/>
        <v>9</v>
      </c>
      <c r="P91" s="106">
        <f>O91*90</f>
        <v>810</v>
      </c>
    </row>
    <row r="92" spans="1:16" x14ac:dyDescent="0.25">
      <c r="A92" s="7" t="s">
        <v>139</v>
      </c>
      <c r="B92" s="156" t="s">
        <v>320</v>
      </c>
      <c r="C92" s="27">
        <v>5</v>
      </c>
      <c r="D92" s="27">
        <v>120</v>
      </c>
      <c r="E92" s="11">
        <v>600</v>
      </c>
      <c r="F92" s="120">
        <v>0</v>
      </c>
      <c r="G92" s="97"/>
      <c r="H92" s="97"/>
      <c r="I92" s="97"/>
      <c r="J92" s="97" t="s">
        <v>235</v>
      </c>
      <c r="K92" s="97"/>
      <c r="L92" s="97"/>
      <c r="M92" s="97"/>
      <c r="N92" s="97"/>
      <c r="O92" s="99">
        <f t="shared" si="4"/>
        <v>5</v>
      </c>
      <c r="P92" s="141"/>
    </row>
    <row r="93" spans="1:16" x14ac:dyDescent="0.25">
      <c r="A93" s="7" t="s">
        <v>140</v>
      </c>
      <c r="B93" s="156" t="s">
        <v>229</v>
      </c>
      <c r="C93" s="27">
        <v>2</v>
      </c>
      <c r="D93" s="27">
        <v>880</v>
      </c>
      <c r="E93" s="13">
        <v>1760</v>
      </c>
      <c r="F93" s="120">
        <v>0</v>
      </c>
      <c r="G93" s="97"/>
      <c r="H93" s="97"/>
      <c r="I93" s="97"/>
      <c r="J93" s="97" t="s">
        <v>235</v>
      </c>
      <c r="K93" s="97"/>
      <c r="L93" s="97"/>
      <c r="M93" s="97"/>
      <c r="N93" s="97"/>
      <c r="O93" s="99">
        <f t="shared" si="4"/>
        <v>2</v>
      </c>
      <c r="P93" s="106">
        <f>O93*890</f>
        <v>1780</v>
      </c>
    </row>
    <row r="94" spans="1:16" x14ac:dyDescent="0.25">
      <c r="A94" s="7" t="s">
        <v>141</v>
      </c>
      <c r="B94" s="156" t="s">
        <v>321</v>
      </c>
      <c r="C94" s="27">
        <v>2</v>
      </c>
      <c r="D94" s="27">
        <v>156</v>
      </c>
      <c r="E94" s="11">
        <v>312</v>
      </c>
      <c r="F94" s="120">
        <v>1</v>
      </c>
      <c r="G94" s="97"/>
      <c r="H94" s="97">
        <v>1</v>
      </c>
      <c r="I94" s="97"/>
      <c r="J94" s="97">
        <v>2005</v>
      </c>
      <c r="K94" s="97"/>
      <c r="L94" s="97" t="s">
        <v>236</v>
      </c>
      <c r="M94" s="100">
        <v>44197</v>
      </c>
      <c r="N94" s="97">
        <f t="shared" si="5"/>
        <v>215</v>
      </c>
      <c r="O94" s="99">
        <f t="shared" si="4"/>
        <v>1</v>
      </c>
      <c r="P94" s="106">
        <v>1300</v>
      </c>
    </row>
    <row r="95" spans="1:16" x14ac:dyDescent="0.25">
      <c r="A95" s="7" t="s">
        <v>142</v>
      </c>
      <c r="B95" s="156" t="s">
        <v>305</v>
      </c>
      <c r="C95" s="27">
        <v>3</v>
      </c>
      <c r="D95" s="27">
        <v>450</v>
      </c>
      <c r="E95" s="13">
        <v>1350</v>
      </c>
      <c r="F95" s="120">
        <v>0</v>
      </c>
      <c r="G95" s="97"/>
      <c r="H95" s="97"/>
      <c r="I95" s="97"/>
      <c r="J95" s="97" t="s">
        <v>235</v>
      </c>
      <c r="K95" s="97"/>
      <c r="L95" s="97"/>
      <c r="M95" s="97"/>
      <c r="N95" s="97"/>
      <c r="O95" s="99">
        <f t="shared" si="4"/>
        <v>3</v>
      </c>
      <c r="P95" s="106">
        <f>O95*5200</f>
        <v>15600</v>
      </c>
    </row>
    <row r="96" spans="1:16" x14ac:dyDescent="0.25">
      <c r="A96" s="7" t="s">
        <v>143</v>
      </c>
      <c r="B96" s="156" t="s">
        <v>322</v>
      </c>
      <c r="C96" s="27">
        <v>2</v>
      </c>
      <c r="D96" s="27">
        <v>400</v>
      </c>
      <c r="E96" s="11">
        <v>800</v>
      </c>
      <c r="F96" s="120">
        <v>1</v>
      </c>
      <c r="G96" s="97"/>
      <c r="H96" s="97">
        <v>1</v>
      </c>
      <c r="I96" s="97"/>
      <c r="J96" s="97">
        <v>2005</v>
      </c>
      <c r="K96" s="97"/>
      <c r="L96" s="97" t="s">
        <v>236</v>
      </c>
      <c r="M96" s="100">
        <v>44197</v>
      </c>
      <c r="N96" s="97">
        <f t="shared" si="5"/>
        <v>215</v>
      </c>
      <c r="O96" s="99">
        <f t="shared" si="4"/>
        <v>1</v>
      </c>
      <c r="P96" s="106">
        <v>9600</v>
      </c>
    </row>
    <row r="97" spans="1:16" x14ac:dyDescent="0.25">
      <c r="A97" s="7" t="s">
        <v>144</v>
      </c>
      <c r="B97" s="156" t="s">
        <v>323</v>
      </c>
      <c r="C97" s="27">
        <v>5</v>
      </c>
      <c r="D97" s="27">
        <v>600</v>
      </c>
      <c r="E97" s="13">
        <v>3000</v>
      </c>
      <c r="F97" s="120">
        <v>0</v>
      </c>
      <c r="G97" s="97"/>
      <c r="H97" s="97"/>
      <c r="I97" s="97"/>
      <c r="J97" s="97" t="s">
        <v>235</v>
      </c>
      <c r="K97" s="97"/>
      <c r="L97" s="97"/>
      <c r="M97" s="97"/>
      <c r="N97" s="97"/>
      <c r="O97" s="99">
        <f t="shared" si="4"/>
        <v>5</v>
      </c>
      <c r="P97" s="106">
        <f>O97*2200</f>
        <v>11000</v>
      </c>
    </row>
    <row r="98" spans="1:16" x14ac:dyDescent="0.25">
      <c r="A98" s="7" t="s">
        <v>145</v>
      </c>
      <c r="B98" s="156" t="s">
        <v>324</v>
      </c>
      <c r="C98" s="27">
        <v>5</v>
      </c>
      <c r="D98" s="27">
        <v>10</v>
      </c>
      <c r="E98" s="11">
        <v>50</v>
      </c>
      <c r="F98" s="120">
        <v>1</v>
      </c>
      <c r="G98" s="97"/>
      <c r="H98" s="97">
        <v>1</v>
      </c>
      <c r="I98" s="97"/>
      <c r="J98" s="117" t="s">
        <v>235</v>
      </c>
      <c r="K98" s="97"/>
      <c r="L98" s="97"/>
      <c r="M98" s="97"/>
      <c r="N98" s="97">
        <f t="shared" si="5"/>
        <v>215</v>
      </c>
      <c r="O98" s="99">
        <f t="shared" si="4"/>
        <v>4</v>
      </c>
      <c r="P98" s="106">
        <f>O98*310</f>
        <v>1240</v>
      </c>
    </row>
    <row r="99" spans="1:16" x14ac:dyDescent="0.25">
      <c r="A99" s="7" t="s">
        <v>146</v>
      </c>
      <c r="B99" s="156" t="s">
        <v>302</v>
      </c>
      <c r="C99" s="27">
        <v>3</v>
      </c>
      <c r="D99" s="27">
        <v>461</v>
      </c>
      <c r="E99" s="13">
        <v>1383</v>
      </c>
      <c r="F99" s="120">
        <v>1</v>
      </c>
      <c r="G99" s="97">
        <v>1</v>
      </c>
      <c r="H99" s="97"/>
      <c r="I99" s="97"/>
      <c r="J99" s="97">
        <v>2005</v>
      </c>
      <c r="K99" s="97"/>
      <c r="L99" s="97" t="s">
        <v>236</v>
      </c>
      <c r="M99" s="100">
        <v>44197</v>
      </c>
      <c r="N99" s="97">
        <f t="shared" si="5"/>
        <v>215</v>
      </c>
      <c r="O99" s="99">
        <f t="shared" si="4"/>
        <v>2</v>
      </c>
      <c r="P99" s="106">
        <f>O99*7400</f>
        <v>14800</v>
      </c>
    </row>
    <row r="100" spans="1:16" x14ac:dyDescent="0.25">
      <c r="A100" s="7" t="s">
        <v>147</v>
      </c>
      <c r="B100" s="156" t="s">
        <v>325</v>
      </c>
      <c r="C100" s="27">
        <v>2</v>
      </c>
      <c r="D100" s="28">
        <v>3120</v>
      </c>
      <c r="E100" s="13">
        <v>6240</v>
      </c>
      <c r="F100" s="120">
        <v>1</v>
      </c>
      <c r="G100" s="97"/>
      <c r="H100" s="97"/>
      <c r="I100" s="97">
        <v>1</v>
      </c>
      <c r="J100" s="97">
        <v>1988</v>
      </c>
      <c r="K100" s="97" t="s">
        <v>236</v>
      </c>
      <c r="L100" s="97"/>
      <c r="M100" s="100">
        <v>44197</v>
      </c>
      <c r="N100" s="97">
        <f t="shared" si="5"/>
        <v>215</v>
      </c>
      <c r="O100" s="99">
        <v>2</v>
      </c>
      <c r="P100" s="106">
        <f>O100*15000</f>
        <v>30000</v>
      </c>
    </row>
    <row r="101" spans="1:16" x14ac:dyDescent="0.25">
      <c r="A101" s="7" t="s">
        <v>148</v>
      </c>
      <c r="B101" s="156" t="s">
        <v>306</v>
      </c>
      <c r="C101" s="27">
        <v>3</v>
      </c>
      <c r="D101" s="28">
        <v>2500</v>
      </c>
      <c r="E101" s="13">
        <v>7500</v>
      </c>
      <c r="F101" s="120">
        <v>1</v>
      </c>
      <c r="G101" s="97"/>
      <c r="H101" s="97">
        <v>1</v>
      </c>
      <c r="I101" s="97"/>
      <c r="J101" s="97">
        <v>1988</v>
      </c>
      <c r="K101" s="97" t="s">
        <v>236</v>
      </c>
      <c r="L101" s="97"/>
      <c r="M101" s="100">
        <v>44197</v>
      </c>
      <c r="N101" s="97">
        <f t="shared" si="5"/>
        <v>215</v>
      </c>
      <c r="O101" s="99">
        <v>3</v>
      </c>
      <c r="P101" s="106">
        <f>O101*880</f>
        <v>2640</v>
      </c>
    </row>
    <row r="102" spans="1:16" ht="22.5" x14ac:dyDescent="0.25">
      <c r="A102" s="7" t="s">
        <v>149</v>
      </c>
      <c r="B102" s="156" t="s">
        <v>326</v>
      </c>
      <c r="C102" s="27">
        <v>3</v>
      </c>
      <c r="D102" s="28">
        <v>4500</v>
      </c>
      <c r="E102" s="13">
        <v>13500</v>
      </c>
      <c r="F102" s="120">
        <v>0</v>
      </c>
      <c r="G102" s="97"/>
      <c r="H102" s="97"/>
      <c r="I102" s="97"/>
      <c r="J102" s="97" t="s">
        <v>235</v>
      </c>
      <c r="K102" s="97"/>
      <c r="L102" s="97"/>
      <c r="M102" s="97"/>
      <c r="N102" s="97"/>
      <c r="O102" s="99">
        <f t="shared" si="4"/>
        <v>3</v>
      </c>
      <c r="P102" s="106">
        <f>O102*35000</f>
        <v>105000</v>
      </c>
    </row>
    <row r="103" spans="1:16" x14ac:dyDescent="0.25">
      <c r="A103" s="7" t="s">
        <v>150</v>
      </c>
      <c r="B103" s="156" t="s">
        <v>327</v>
      </c>
      <c r="C103" s="27">
        <v>3</v>
      </c>
      <c r="D103" s="28">
        <v>2800</v>
      </c>
      <c r="E103" s="13">
        <v>8400</v>
      </c>
      <c r="F103" s="120">
        <v>0</v>
      </c>
      <c r="G103" s="97"/>
      <c r="H103" s="97"/>
      <c r="I103" s="97"/>
      <c r="J103" s="97" t="s">
        <v>235</v>
      </c>
      <c r="K103" s="97"/>
      <c r="L103" s="97"/>
      <c r="M103" s="97"/>
      <c r="N103" s="97"/>
      <c r="O103" s="99">
        <f t="shared" si="4"/>
        <v>3</v>
      </c>
      <c r="P103" s="106">
        <f>O103*2000</f>
        <v>6000</v>
      </c>
    </row>
    <row r="104" spans="1:16" x14ac:dyDescent="0.25">
      <c r="A104" s="7" t="s">
        <v>151</v>
      </c>
      <c r="B104" s="156" t="s">
        <v>328</v>
      </c>
      <c r="C104" s="27">
        <v>1</v>
      </c>
      <c r="D104" s="28">
        <v>8300</v>
      </c>
      <c r="E104" s="13">
        <v>8300</v>
      </c>
      <c r="F104" s="120">
        <v>0</v>
      </c>
      <c r="G104" s="97"/>
      <c r="H104" s="97"/>
      <c r="I104" s="97"/>
      <c r="J104" s="97" t="s">
        <v>235</v>
      </c>
      <c r="K104" s="97"/>
      <c r="L104" s="97"/>
      <c r="M104" s="97"/>
      <c r="N104" s="97"/>
      <c r="O104" s="99">
        <f t="shared" si="4"/>
        <v>1</v>
      </c>
      <c r="P104" s="106">
        <v>135000</v>
      </c>
    </row>
    <row r="105" spans="1:16" x14ac:dyDescent="0.25">
      <c r="A105" s="7" t="s">
        <v>152</v>
      </c>
      <c r="B105" s="156" t="s">
        <v>329</v>
      </c>
      <c r="C105" s="27">
        <v>10</v>
      </c>
      <c r="D105" s="28">
        <v>1020</v>
      </c>
      <c r="E105" s="13">
        <v>10200</v>
      </c>
      <c r="F105" s="120">
        <v>10</v>
      </c>
      <c r="G105" s="97"/>
      <c r="H105" s="97">
        <v>1</v>
      </c>
      <c r="I105" s="97"/>
      <c r="J105" s="97">
        <v>1990</v>
      </c>
      <c r="K105" s="97" t="s">
        <v>236</v>
      </c>
      <c r="L105" s="97"/>
      <c r="M105" s="100">
        <v>44197</v>
      </c>
      <c r="N105" s="97">
        <f t="shared" si="5"/>
        <v>21.5</v>
      </c>
      <c r="O105" s="99">
        <v>10</v>
      </c>
      <c r="P105" s="106">
        <f>O105*600</f>
        <v>6000</v>
      </c>
    </row>
    <row r="106" spans="1:16" ht="22.5" x14ac:dyDescent="0.25">
      <c r="A106" s="7" t="s">
        <v>153</v>
      </c>
      <c r="B106" s="156" t="s">
        <v>330</v>
      </c>
      <c r="C106" s="27">
        <v>1</v>
      </c>
      <c r="D106" s="28">
        <v>1082</v>
      </c>
      <c r="E106" s="13">
        <v>1082</v>
      </c>
      <c r="F106" s="120">
        <v>0</v>
      </c>
      <c r="G106" s="97"/>
      <c r="H106" s="97"/>
      <c r="I106" s="97"/>
      <c r="J106" s="97" t="s">
        <v>235</v>
      </c>
      <c r="K106" s="97"/>
      <c r="L106" s="97"/>
      <c r="M106" s="97"/>
      <c r="N106" s="97"/>
      <c r="O106" s="99">
        <f t="shared" si="4"/>
        <v>1</v>
      </c>
      <c r="P106" s="141"/>
    </row>
    <row r="107" spans="1:16" x14ac:dyDescent="0.25">
      <c r="A107" s="7" t="s">
        <v>154</v>
      </c>
      <c r="B107" s="156" t="s">
        <v>155</v>
      </c>
      <c r="C107" s="27">
        <v>1</v>
      </c>
      <c r="D107" s="28">
        <v>1482</v>
      </c>
      <c r="E107" s="13">
        <v>1482</v>
      </c>
      <c r="F107" s="120">
        <v>1</v>
      </c>
      <c r="G107" s="97">
        <v>1</v>
      </c>
      <c r="H107" s="97"/>
      <c r="I107" s="97"/>
      <c r="J107" s="97">
        <v>2003</v>
      </c>
      <c r="K107" s="97"/>
      <c r="L107" s="97"/>
      <c r="M107" s="100">
        <v>44197</v>
      </c>
      <c r="N107" s="97">
        <f t="shared" si="5"/>
        <v>215</v>
      </c>
      <c r="O107" s="99">
        <f t="shared" si="4"/>
        <v>0</v>
      </c>
      <c r="P107" s="106"/>
    </row>
    <row r="108" spans="1:16" x14ac:dyDescent="0.25">
      <c r="A108" s="7" t="s">
        <v>156</v>
      </c>
      <c r="B108" s="156" t="s">
        <v>331</v>
      </c>
      <c r="C108" s="27">
        <v>20</v>
      </c>
      <c r="D108" s="27">
        <v>39</v>
      </c>
      <c r="E108" s="11">
        <v>780</v>
      </c>
      <c r="F108" s="120">
        <v>10</v>
      </c>
      <c r="G108" s="97"/>
      <c r="H108" s="97"/>
      <c r="I108" s="97">
        <v>10</v>
      </c>
      <c r="J108" s="97">
        <v>2004</v>
      </c>
      <c r="K108" s="97"/>
      <c r="L108" s="97" t="s">
        <v>236</v>
      </c>
      <c r="M108" s="100">
        <v>44197</v>
      </c>
      <c r="N108" s="97">
        <f t="shared" si="5"/>
        <v>21.5</v>
      </c>
      <c r="O108" s="99">
        <v>20</v>
      </c>
      <c r="P108" s="106">
        <f>O108*550</f>
        <v>11000</v>
      </c>
    </row>
    <row r="109" spans="1:16" x14ac:dyDescent="0.25">
      <c r="A109" s="7" t="s">
        <v>157</v>
      </c>
      <c r="B109" s="156" t="s">
        <v>304</v>
      </c>
      <c r="C109" s="27">
        <v>5</v>
      </c>
      <c r="D109" s="27">
        <v>300</v>
      </c>
      <c r="E109" s="13">
        <v>1500</v>
      </c>
      <c r="F109" s="120">
        <v>0</v>
      </c>
      <c r="G109" s="97"/>
      <c r="H109" s="97"/>
      <c r="I109" s="97"/>
      <c r="J109" s="97" t="s">
        <v>235</v>
      </c>
      <c r="K109" s="97"/>
      <c r="L109" s="97"/>
      <c r="M109" s="100"/>
      <c r="N109" s="97"/>
      <c r="O109" s="99">
        <f t="shared" si="4"/>
        <v>5</v>
      </c>
      <c r="P109" s="106">
        <f>O109*2600</f>
        <v>13000</v>
      </c>
    </row>
    <row r="110" spans="1:16" x14ac:dyDescent="0.25">
      <c r="A110" s="7" t="s">
        <v>158</v>
      </c>
      <c r="B110" s="156" t="s">
        <v>297</v>
      </c>
      <c r="C110" s="27">
        <v>2</v>
      </c>
      <c r="D110" s="27">
        <v>295</v>
      </c>
      <c r="E110" s="11">
        <v>590</v>
      </c>
      <c r="F110" s="120">
        <v>3</v>
      </c>
      <c r="G110" s="97"/>
      <c r="H110" s="97">
        <v>1</v>
      </c>
      <c r="I110" s="97"/>
      <c r="J110" s="97">
        <v>1987</v>
      </c>
      <c r="K110" s="97"/>
      <c r="L110" s="97" t="s">
        <v>236</v>
      </c>
      <c r="M110" s="100">
        <v>44197</v>
      </c>
      <c r="N110" s="97">
        <v>72</v>
      </c>
      <c r="O110" s="99">
        <v>0</v>
      </c>
      <c r="P110" s="106"/>
    </row>
    <row r="111" spans="1:16" x14ac:dyDescent="0.25">
      <c r="A111" s="7" t="s">
        <v>159</v>
      </c>
      <c r="B111" s="156" t="s">
        <v>332</v>
      </c>
      <c r="C111" s="27">
        <v>3</v>
      </c>
      <c r="D111" s="27">
        <v>60</v>
      </c>
      <c r="E111" s="11">
        <v>180</v>
      </c>
      <c r="F111" s="120">
        <v>1</v>
      </c>
      <c r="G111" s="97">
        <v>1</v>
      </c>
      <c r="H111" s="97"/>
      <c r="I111" s="97"/>
      <c r="J111" s="97">
        <v>2005</v>
      </c>
      <c r="K111" s="97"/>
      <c r="L111" s="97" t="s">
        <v>236</v>
      </c>
      <c r="M111" s="100">
        <v>44197</v>
      </c>
      <c r="N111" s="97">
        <f t="shared" si="5"/>
        <v>215</v>
      </c>
      <c r="O111" s="99">
        <f t="shared" si="4"/>
        <v>2</v>
      </c>
      <c r="P111" s="106">
        <f>O111*750</f>
        <v>1500</v>
      </c>
    </row>
    <row r="112" spans="1:16" x14ac:dyDescent="0.25">
      <c r="A112" s="7" t="s">
        <v>160</v>
      </c>
      <c r="B112" s="156" t="s">
        <v>333</v>
      </c>
      <c r="C112" s="27">
        <v>1</v>
      </c>
      <c r="D112" s="27">
        <v>381</v>
      </c>
      <c r="E112" s="11">
        <v>381</v>
      </c>
      <c r="F112" s="120">
        <v>0</v>
      </c>
      <c r="G112" s="97"/>
      <c r="H112" s="97"/>
      <c r="I112" s="97"/>
      <c r="J112" s="97" t="s">
        <v>235</v>
      </c>
      <c r="K112" s="97"/>
      <c r="L112" s="97"/>
      <c r="M112" s="100"/>
      <c r="N112" s="97"/>
      <c r="O112" s="99">
        <f t="shared" si="4"/>
        <v>1</v>
      </c>
      <c r="P112" s="106">
        <v>5000</v>
      </c>
    </row>
    <row r="113" spans="1:16" x14ac:dyDescent="0.25">
      <c r="A113" s="7" t="s">
        <v>161</v>
      </c>
      <c r="B113" s="156" t="s">
        <v>230</v>
      </c>
      <c r="C113" s="27">
        <v>1</v>
      </c>
      <c r="D113" s="27">
        <v>125</v>
      </c>
      <c r="E113" s="11">
        <v>125</v>
      </c>
      <c r="F113" s="120">
        <v>3</v>
      </c>
      <c r="G113" s="97"/>
      <c r="H113" s="97">
        <v>1</v>
      </c>
      <c r="I113" s="97"/>
      <c r="J113" s="97">
        <v>2004</v>
      </c>
      <c r="K113" s="97" t="s">
        <v>236</v>
      </c>
      <c r="L113" s="97"/>
      <c r="M113" s="100">
        <v>44197</v>
      </c>
      <c r="N113" s="97">
        <v>72</v>
      </c>
      <c r="O113" s="99">
        <v>1</v>
      </c>
      <c r="P113" s="106">
        <v>3200</v>
      </c>
    </row>
    <row r="114" spans="1:16" x14ac:dyDescent="0.25">
      <c r="A114" s="7" t="s">
        <v>162</v>
      </c>
      <c r="B114" s="156" t="s">
        <v>298</v>
      </c>
      <c r="C114" s="27">
        <v>5</v>
      </c>
      <c r="D114" s="27">
        <v>63</v>
      </c>
      <c r="E114" s="11">
        <v>315</v>
      </c>
      <c r="F114" s="120">
        <v>0</v>
      </c>
      <c r="G114" s="97"/>
      <c r="H114" s="97"/>
      <c r="I114" s="97"/>
      <c r="J114" s="97" t="s">
        <v>235</v>
      </c>
      <c r="K114" s="97"/>
      <c r="L114" s="97"/>
      <c r="M114" s="100"/>
      <c r="N114" s="97"/>
      <c r="O114" s="99">
        <f t="shared" si="4"/>
        <v>5</v>
      </c>
      <c r="P114" s="106">
        <f>2*3200</f>
        <v>6400</v>
      </c>
    </row>
    <row r="115" spans="1:16" ht="22.5" x14ac:dyDescent="0.25">
      <c r="A115" s="7" t="s">
        <v>163</v>
      </c>
      <c r="B115" s="156" t="s">
        <v>334</v>
      </c>
      <c r="C115" s="27">
        <v>2</v>
      </c>
      <c r="D115" s="28">
        <v>1320</v>
      </c>
      <c r="E115" s="13">
        <v>2640</v>
      </c>
      <c r="F115" s="120">
        <v>0</v>
      </c>
      <c r="G115" s="97"/>
      <c r="H115" s="97"/>
      <c r="I115" s="97"/>
      <c r="J115" s="97" t="s">
        <v>235</v>
      </c>
      <c r="K115" s="97"/>
      <c r="L115" s="97"/>
      <c r="M115" s="100"/>
      <c r="N115" s="97"/>
      <c r="O115" s="99">
        <f t="shared" si="4"/>
        <v>2</v>
      </c>
      <c r="P115" s="106">
        <v>400</v>
      </c>
    </row>
    <row r="116" spans="1:16" x14ac:dyDescent="0.25">
      <c r="A116" s="7" t="s">
        <v>164</v>
      </c>
      <c r="B116" s="156" t="s">
        <v>335</v>
      </c>
      <c r="C116" s="27">
        <v>10</v>
      </c>
      <c r="D116" s="27">
        <v>29</v>
      </c>
      <c r="E116" s="11">
        <v>290</v>
      </c>
      <c r="F116" s="120">
        <v>0</v>
      </c>
      <c r="G116" s="97"/>
      <c r="H116" s="97"/>
      <c r="I116" s="97"/>
      <c r="J116" s="97" t="s">
        <v>235</v>
      </c>
      <c r="K116" s="97"/>
      <c r="L116" s="97"/>
      <c r="M116" s="100"/>
      <c r="N116" s="97"/>
      <c r="O116" s="99">
        <f t="shared" si="4"/>
        <v>10</v>
      </c>
      <c r="P116" s="106">
        <f>O116*1200</f>
        <v>12000</v>
      </c>
    </row>
    <row r="117" spans="1:16" ht="22.5" x14ac:dyDescent="0.25">
      <c r="A117" s="7" t="s">
        <v>165</v>
      </c>
      <c r="B117" s="156" t="s">
        <v>336</v>
      </c>
      <c r="C117" s="27">
        <v>10</v>
      </c>
      <c r="D117" s="27">
        <v>40</v>
      </c>
      <c r="E117" s="11">
        <v>400</v>
      </c>
      <c r="F117" s="120">
        <v>0</v>
      </c>
      <c r="G117" s="97"/>
      <c r="H117" s="97"/>
      <c r="I117" s="97"/>
      <c r="J117" s="97" t="s">
        <v>235</v>
      </c>
      <c r="K117" s="97"/>
      <c r="L117" s="97"/>
      <c r="M117" s="100"/>
      <c r="N117" s="97"/>
      <c r="O117" s="99">
        <f t="shared" si="4"/>
        <v>10</v>
      </c>
      <c r="P117" s="106">
        <f>O117*2160</f>
        <v>21600</v>
      </c>
    </row>
    <row r="118" spans="1:16" ht="22.5" x14ac:dyDescent="0.25">
      <c r="A118" s="7" t="s">
        <v>166</v>
      </c>
      <c r="B118" s="156" t="s">
        <v>299</v>
      </c>
      <c r="C118" s="27">
        <v>10</v>
      </c>
      <c r="D118" s="27">
        <v>45</v>
      </c>
      <c r="E118" s="11">
        <v>450</v>
      </c>
      <c r="F118" s="120">
        <v>0</v>
      </c>
      <c r="G118" s="97"/>
      <c r="H118" s="97"/>
      <c r="I118" s="97"/>
      <c r="J118" s="97" t="s">
        <v>235</v>
      </c>
      <c r="K118" s="97"/>
      <c r="L118" s="97"/>
      <c r="M118" s="100"/>
      <c r="N118" s="97"/>
      <c r="O118" s="99">
        <f t="shared" si="4"/>
        <v>10</v>
      </c>
      <c r="P118" s="106">
        <f>O118*550</f>
        <v>5500</v>
      </c>
    </row>
    <row r="119" spans="1:16" x14ac:dyDescent="0.25">
      <c r="A119" s="7" t="s">
        <v>167</v>
      </c>
      <c r="B119" s="156" t="s">
        <v>337</v>
      </c>
      <c r="C119" s="27">
        <v>10</v>
      </c>
      <c r="D119" s="27">
        <v>6</v>
      </c>
      <c r="E119" s="11">
        <v>60</v>
      </c>
      <c r="F119" s="120">
        <v>0</v>
      </c>
      <c r="G119" s="97"/>
      <c r="H119" s="97"/>
      <c r="I119" s="97"/>
      <c r="J119" s="97" t="s">
        <v>235</v>
      </c>
      <c r="K119" s="97"/>
      <c r="L119" s="97"/>
      <c r="M119" s="100"/>
      <c r="N119" s="97"/>
      <c r="O119" s="99">
        <f t="shared" si="4"/>
        <v>10</v>
      </c>
      <c r="P119" s="106">
        <f>O119*260</f>
        <v>2600</v>
      </c>
    </row>
    <row r="120" spans="1:16" x14ac:dyDescent="0.25">
      <c r="A120" s="7" t="s">
        <v>168</v>
      </c>
      <c r="B120" s="156" t="s">
        <v>338</v>
      </c>
      <c r="C120" s="27">
        <v>20</v>
      </c>
      <c r="D120" s="27">
        <v>7</v>
      </c>
      <c r="E120" s="11">
        <v>140</v>
      </c>
      <c r="F120" s="120">
        <v>0</v>
      </c>
      <c r="G120" s="97"/>
      <c r="H120" s="97"/>
      <c r="I120" s="97"/>
      <c r="J120" s="97" t="s">
        <v>235</v>
      </c>
      <c r="K120" s="97"/>
      <c r="L120" s="97"/>
      <c r="M120" s="100"/>
      <c r="N120" s="97"/>
      <c r="O120" s="99">
        <f t="shared" si="4"/>
        <v>20</v>
      </c>
      <c r="P120" s="106">
        <f>O120*50</f>
        <v>1000</v>
      </c>
    </row>
    <row r="121" spans="1:16" x14ac:dyDescent="0.25">
      <c r="A121" s="7" t="s">
        <v>169</v>
      </c>
      <c r="B121" s="156" t="s">
        <v>300</v>
      </c>
      <c r="C121" s="27">
        <v>1</v>
      </c>
      <c r="D121" s="28">
        <v>3933</v>
      </c>
      <c r="E121" s="13">
        <v>3933</v>
      </c>
      <c r="F121" s="120">
        <v>1</v>
      </c>
      <c r="G121" s="97"/>
      <c r="H121" s="97">
        <v>1</v>
      </c>
      <c r="I121" s="97"/>
      <c r="J121" s="97">
        <v>1987</v>
      </c>
      <c r="K121" s="97"/>
      <c r="L121" s="97" t="s">
        <v>236</v>
      </c>
      <c r="M121" s="100">
        <v>44197</v>
      </c>
      <c r="N121" s="97">
        <f t="shared" si="5"/>
        <v>215</v>
      </c>
      <c r="O121" s="99">
        <f t="shared" si="4"/>
        <v>0</v>
      </c>
      <c r="P121" s="106"/>
    </row>
    <row r="122" spans="1:16" x14ac:dyDescent="0.25">
      <c r="A122" s="7" t="s">
        <v>170</v>
      </c>
      <c r="B122" s="156" t="s">
        <v>301</v>
      </c>
      <c r="C122" s="27">
        <v>5</v>
      </c>
      <c r="D122" s="27">
        <v>80</v>
      </c>
      <c r="E122" s="11">
        <v>400</v>
      </c>
      <c r="F122" s="120">
        <v>10</v>
      </c>
      <c r="G122" s="97"/>
      <c r="H122" s="97"/>
      <c r="I122" s="97">
        <v>10</v>
      </c>
      <c r="J122" s="97">
        <v>2004</v>
      </c>
      <c r="K122" s="97" t="s">
        <v>236</v>
      </c>
      <c r="L122" s="97"/>
      <c r="M122" s="100">
        <v>44197</v>
      </c>
      <c r="N122" s="97">
        <f t="shared" si="5"/>
        <v>21.5</v>
      </c>
      <c r="O122" s="99">
        <v>5</v>
      </c>
      <c r="P122" s="106">
        <f>O122*700</f>
        <v>3500</v>
      </c>
    </row>
    <row r="123" spans="1:16" x14ac:dyDescent="0.25">
      <c r="A123" s="7" t="s">
        <v>171</v>
      </c>
      <c r="B123" s="156" t="s">
        <v>339</v>
      </c>
      <c r="C123" s="27">
        <v>10</v>
      </c>
      <c r="D123" s="27">
        <v>9</v>
      </c>
      <c r="E123" s="11">
        <v>90</v>
      </c>
      <c r="F123" s="120">
        <v>0</v>
      </c>
      <c r="G123" s="97"/>
      <c r="H123" s="97"/>
      <c r="I123" s="97"/>
      <c r="J123" s="97" t="s">
        <v>235</v>
      </c>
      <c r="K123" s="97"/>
      <c r="L123" s="97"/>
      <c r="M123" s="100"/>
      <c r="N123" s="97"/>
      <c r="O123" s="99">
        <f t="shared" si="4"/>
        <v>10</v>
      </c>
      <c r="P123" s="106">
        <f>O123*40</f>
        <v>400</v>
      </c>
    </row>
    <row r="124" spans="1:16" x14ac:dyDescent="0.25">
      <c r="A124" s="7" t="s">
        <v>172</v>
      </c>
      <c r="B124" s="156" t="s">
        <v>340</v>
      </c>
      <c r="C124" s="27">
        <v>1</v>
      </c>
      <c r="D124" s="28">
        <v>4151</v>
      </c>
      <c r="E124" s="13">
        <v>4151</v>
      </c>
      <c r="F124" s="120">
        <v>0</v>
      </c>
      <c r="G124" s="97"/>
      <c r="H124" s="97"/>
      <c r="I124" s="97"/>
      <c r="J124" s="97" t="s">
        <v>235</v>
      </c>
      <c r="K124" s="97"/>
      <c r="L124" s="97"/>
      <c r="M124" s="100"/>
      <c r="N124" s="97"/>
      <c r="O124" s="99">
        <f t="shared" si="4"/>
        <v>1</v>
      </c>
      <c r="P124" s="106">
        <v>2500</v>
      </c>
    </row>
    <row r="125" spans="1:16" x14ac:dyDescent="0.25">
      <c r="A125" s="65" t="s">
        <v>27</v>
      </c>
      <c r="B125" s="65"/>
      <c r="C125" s="65"/>
      <c r="D125" s="65"/>
      <c r="E125" s="65"/>
      <c r="F125" s="89"/>
      <c r="J125" s="34"/>
      <c r="K125" s="34"/>
      <c r="L125" s="34"/>
      <c r="M125" s="100"/>
      <c r="N125" s="97"/>
      <c r="O125" s="99"/>
      <c r="P125" s="139"/>
    </row>
    <row r="126" spans="1:16" x14ac:dyDescent="0.25">
      <c r="A126" s="7" t="s">
        <v>9</v>
      </c>
      <c r="B126" s="156" t="s">
        <v>28</v>
      </c>
      <c r="C126" s="27">
        <v>1</v>
      </c>
      <c r="D126" s="27">
        <v>120</v>
      </c>
      <c r="E126" s="11">
        <v>120</v>
      </c>
      <c r="F126" s="120">
        <v>0</v>
      </c>
      <c r="G126" s="97"/>
      <c r="H126" s="97"/>
      <c r="I126" s="97"/>
      <c r="J126" s="97" t="s">
        <v>235</v>
      </c>
      <c r="K126" s="97"/>
      <c r="L126" s="97"/>
      <c r="M126" s="100"/>
      <c r="N126" s="97"/>
      <c r="O126" s="99">
        <f t="shared" si="4"/>
        <v>1</v>
      </c>
      <c r="P126" s="106">
        <v>500</v>
      </c>
    </row>
    <row r="127" spans="1:16" x14ac:dyDescent="0.25">
      <c r="A127" s="7" t="s">
        <v>19</v>
      </c>
      <c r="B127" s="156" t="s">
        <v>20</v>
      </c>
      <c r="C127" s="27">
        <v>2</v>
      </c>
      <c r="D127" s="27">
        <v>215</v>
      </c>
      <c r="E127" s="11">
        <v>430</v>
      </c>
      <c r="F127" s="120">
        <v>1</v>
      </c>
      <c r="G127" s="97"/>
      <c r="H127" s="97">
        <v>1</v>
      </c>
      <c r="I127" s="97"/>
      <c r="J127" s="97">
        <v>2005</v>
      </c>
      <c r="K127" s="97"/>
      <c r="L127" s="97" t="s">
        <v>236</v>
      </c>
      <c r="M127" s="100">
        <v>44197</v>
      </c>
      <c r="N127" s="97">
        <f t="shared" si="5"/>
        <v>215</v>
      </c>
      <c r="O127" s="99">
        <f t="shared" si="4"/>
        <v>1</v>
      </c>
      <c r="P127" s="106">
        <v>1800</v>
      </c>
    </row>
    <row r="128" spans="1:16" x14ac:dyDescent="0.25">
      <c r="A128" s="65" t="s">
        <v>10</v>
      </c>
      <c r="B128" s="65"/>
      <c r="C128" s="65"/>
      <c r="D128" s="65"/>
      <c r="E128" s="65"/>
      <c r="F128" s="121"/>
      <c r="G128" s="122"/>
      <c r="H128" s="122"/>
      <c r="I128" s="122"/>
      <c r="J128" s="122"/>
      <c r="K128" s="122"/>
      <c r="L128" s="122"/>
      <c r="M128" s="100"/>
      <c r="N128" s="97"/>
      <c r="O128" s="99"/>
      <c r="P128" s="140"/>
    </row>
    <row r="129" spans="1:16" x14ac:dyDescent="0.25">
      <c r="A129" s="7" t="s">
        <v>173</v>
      </c>
      <c r="B129" s="156" t="s">
        <v>174</v>
      </c>
      <c r="C129" s="27">
        <v>1</v>
      </c>
      <c r="D129" s="27">
        <v>350</v>
      </c>
      <c r="E129" s="11">
        <v>350</v>
      </c>
      <c r="F129" s="120">
        <v>1</v>
      </c>
      <c r="G129" s="97"/>
      <c r="H129" s="97">
        <v>1</v>
      </c>
      <c r="I129" s="97"/>
      <c r="J129" s="97">
        <v>2005</v>
      </c>
      <c r="K129" s="97"/>
      <c r="L129" s="97" t="s">
        <v>236</v>
      </c>
      <c r="M129" s="100">
        <v>44197</v>
      </c>
      <c r="N129" s="97">
        <f t="shared" si="5"/>
        <v>215</v>
      </c>
      <c r="O129" s="99">
        <f t="shared" si="4"/>
        <v>0</v>
      </c>
      <c r="P129" s="106"/>
    </row>
    <row r="130" spans="1:16" x14ac:dyDescent="0.25">
      <c r="A130" s="7" t="s">
        <v>175</v>
      </c>
      <c r="B130" s="156" t="s">
        <v>303</v>
      </c>
      <c r="C130" s="27">
        <v>2</v>
      </c>
      <c r="D130" s="27">
        <v>346</v>
      </c>
      <c r="E130" s="11">
        <v>692</v>
      </c>
      <c r="F130" s="120">
        <v>0</v>
      </c>
      <c r="G130" s="97"/>
      <c r="H130" s="97"/>
      <c r="I130" s="97"/>
      <c r="J130" s="97" t="s">
        <v>235</v>
      </c>
      <c r="K130" s="97"/>
      <c r="L130" s="97"/>
      <c r="M130" s="100"/>
      <c r="N130" s="97"/>
      <c r="O130" s="99">
        <f t="shared" si="4"/>
        <v>2</v>
      </c>
      <c r="P130" s="106">
        <f>O130*6700</f>
        <v>13400</v>
      </c>
    </row>
    <row r="131" spans="1:16" x14ac:dyDescent="0.25">
      <c r="A131" s="7" t="s">
        <v>176</v>
      </c>
      <c r="B131" s="156" t="s">
        <v>177</v>
      </c>
      <c r="C131" s="27">
        <v>4</v>
      </c>
      <c r="D131" s="27">
        <v>300</v>
      </c>
      <c r="E131" s="13">
        <v>1200</v>
      </c>
      <c r="F131" s="120">
        <v>1</v>
      </c>
      <c r="G131" s="97"/>
      <c r="H131" s="97">
        <v>1</v>
      </c>
      <c r="I131" s="97"/>
      <c r="J131" s="97">
        <v>1989</v>
      </c>
      <c r="K131" s="97"/>
      <c r="L131" s="97" t="s">
        <v>236</v>
      </c>
      <c r="M131" s="100">
        <v>44197</v>
      </c>
      <c r="N131" s="97">
        <f t="shared" si="5"/>
        <v>215</v>
      </c>
      <c r="O131" s="99">
        <f t="shared" si="4"/>
        <v>3</v>
      </c>
      <c r="P131" s="106">
        <f>O131*2500</f>
        <v>7500</v>
      </c>
    </row>
    <row r="132" spans="1:16" x14ac:dyDescent="0.25">
      <c r="A132" s="7" t="s">
        <v>178</v>
      </c>
      <c r="B132" s="156" t="s">
        <v>187</v>
      </c>
      <c r="C132" s="27">
        <v>1</v>
      </c>
      <c r="D132" s="27">
        <v>240</v>
      </c>
      <c r="E132" s="11">
        <v>240</v>
      </c>
      <c r="F132" s="120">
        <v>0</v>
      </c>
      <c r="G132" s="97"/>
      <c r="H132" s="97"/>
      <c r="I132" s="97"/>
      <c r="J132" s="97" t="s">
        <v>235</v>
      </c>
      <c r="K132" s="97"/>
      <c r="L132" s="97"/>
      <c r="M132" s="100"/>
      <c r="N132" s="97"/>
      <c r="O132" s="99">
        <f t="shared" si="4"/>
        <v>1</v>
      </c>
      <c r="P132" s="106">
        <v>1500</v>
      </c>
    </row>
    <row r="133" spans="1:16" x14ac:dyDescent="0.25">
      <c r="A133" s="7" t="s">
        <v>14</v>
      </c>
      <c r="B133" s="156" t="s">
        <v>15</v>
      </c>
      <c r="C133" s="27">
        <v>1</v>
      </c>
      <c r="D133" s="27">
        <v>35</v>
      </c>
      <c r="E133" s="11">
        <v>35</v>
      </c>
      <c r="F133" s="120">
        <v>1</v>
      </c>
      <c r="G133" s="97">
        <v>1</v>
      </c>
      <c r="H133" s="97"/>
      <c r="I133" s="97"/>
      <c r="J133" s="97">
        <v>2005</v>
      </c>
      <c r="K133" s="97"/>
      <c r="L133" s="97" t="s">
        <v>236</v>
      </c>
      <c r="M133" s="100">
        <v>44197</v>
      </c>
      <c r="N133" s="97">
        <f t="shared" si="5"/>
        <v>215</v>
      </c>
      <c r="O133" s="99">
        <f t="shared" si="4"/>
        <v>0</v>
      </c>
      <c r="P133" s="106">
        <v>770</v>
      </c>
    </row>
    <row r="134" spans="1:16" x14ac:dyDescent="0.25">
      <c r="A134" s="7" t="s">
        <v>179</v>
      </c>
      <c r="B134" s="156" t="s">
        <v>180</v>
      </c>
      <c r="C134" s="27">
        <v>1</v>
      </c>
      <c r="D134" s="27">
        <v>460</v>
      </c>
      <c r="E134" s="11">
        <v>460</v>
      </c>
      <c r="F134" s="96">
        <v>0</v>
      </c>
      <c r="G134" s="97"/>
      <c r="H134" s="97"/>
      <c r="I134" s="97"/>
      <c r="J134" s="97" t="s">
        <v>235</v>
      </c>
      <c r="K134" s="97"/>
      <c r="L134" s="97"/>
      <c r="M134" s="100"/>
      <c r="N134" s="97"/>
      <c r="O134" s="99">
        <f t="shared" si="4"/>
        <v>1</v>
      </c>
      <c r="P134" s="106">
        <v>1970</v>
      </c>
    </row>
    <row r="135" spans="1:16" s="125" customFormat="1" x14ac:dyDescent="0.25">
      <c r="A135" s="127"/>
      <c r="B135" s="156"/>
      <c r="C135" s="136"/>
      <c r="D135" s="136"/>
      <c r="E135" s="129"/>
      <c r="F135" s="111"/>
      <c r="G135" s="112"/>
      <c r="H135" s="112"/>
      <c r="I135" s="112"/>
      <c r="J135" s="112"/>
      <c r="K135" s="112"/>
      <c r="L135" s="112"/>
      <c r="M135" s="113"/>
      <c r="N135" s="112"/>
      <c r="O135" s="114"/>
      <c r="P135" s="105">
        <f>SUM(P84:P134)</f>
        <v>537360</v>
      </c>
    </row>
    <row r="136" spans="1:16" x14ac:dyDescent="0.25">
      <c r="A136" s="66" t="s">
        <v>45</v>
      </c>
      <c r="B136" s="66"/>
      <c r="C136" s="66"/>
      <c r="D136" s="66"/>
      <c r="E136" s="66"/>
      <c r="J136" s="34"/>
      <c r="K136" s="34"/>
      <c r="L136" s="34"/>
      <c r="M136" s="34"/>
      <c r="N136" s="34"/>
      <c r="O136" s="34"/>
    </row>
    <row r="137" spans="1:16" ht="24" customHeight="1" x14ac:dyDescent="0.25">
      <c r="A137" s="2" t="s">
        <v>125</v>
      </c>
      <c r="B137" s="59" t="s">
        <v>189</v>
      </c>
      <c r="C137" s="60"/>
      <c r="D137" s="64" t="s">
        <v>185</v>
      </c>
      <c r="E137" s="64"/>
      <c r="J137" s="34"/>
      <c r="K137" s="34"/>
      <c r="L137" s="34"/>
      <c r="M137" s="34"/>
      <c r="N137" s="34"/>
      <c r="O137" s="34"/>
    </row>
    <row r="138" spans="1:16" x14ac:dyDescent="0.25">
      <c r="A138" s="2" t="s">
        <v>126</v>
      </c>
      <c r="B138" s="60" t="s">
        <v>95</v>
      </c>
      <c r="C138" s="60"/>
      <c r="D138" s="60"/>
      <c r="E138" s="60"/>
      <c r="F138" s="53" t="s">
        <v>209</v>
      </c>
      <c r="G138" s="54" t="s">
        <v>210</v>
      </c>
      <c r="H138" s="54"/>
      <c r="I138" s="54"/>
      <c r="J138" s="49" t="s">
        <v>218</v>
      </c>
      <c r="K138" s="51" t="s">
        <v>215</v>
      </c>
      <c r="L138" s="52"/>
      <c r="M138" s="55" t="s">
        <v>211</v>
      </c>
      <c r="N138" s="55" t="s">
        <v>213</v>
      </c>
      <c r="O138" s="55" t="s">
        <v>212</v>
      </c>
      <c r="P138" s="55" t="s">
        <v>214</v>
      </c>
    </row>
    <row r="139" spans="1:16" x14ac:dyDescent="0.25">
      <c r="A139" s="29" t="s">
        <v>127</v>
      </c>
      <c r="B139" s="86" t="s">
        <v>0</v>
      </c>
      <c r="C139" s="29" t="s">
        <v>128</v>
      </c>
      <c r="D139" s="29" t="s">
        <v>129</v>
      </c>
      <c r="E139" s="29" t="s">
        <v>130</v>
      </c>
      <c r="F139" s="53"/>
      <c r="G139" s="31" t="s">
        <v>205</v>
      </c>
      <c r="H139" s="31" t="s">
        <v>206</v>
      </c>
      <c r="I139" s="31" t="s">
        <v>207</v>
      </c>
      <c r="J139" s="50"/>
      <c r="K139" s="31" t="s">
        <v>216</v>
      </c>
      <c r="L139" s="31" t="s">
        <v>217</v>
      </c>
      <c r="M139" s="55"/>
      <c r="N139" s="55"/>
      <c r="O139" s="55"/>
      <c r="P139" s="55"/>
    </row>
    <row r="140" spans="1:16" x14ac:dyDescent="0.25">
      <c r="A140" s="7" t="s">
        <v>181</v>
      </c>
      <c r="B140" s="80" t="s">
        <v>188</v>
      </c>
      <c r="C140" s="27"/>
      <c r="D140" s="27"/>
      <c r="E140" s="11">
        <v>762</v>
      </c>
      <c r="F140" s="96">
        <v>1</v>
      </c>
      <c r="G140" s="97"/>
      <c r="H140" s="97">
        <v>1</v>
      </c>
      <c r="I140" s="97"/>
      <c r="J140" s="97">
        <v>2005</v>
      </c>
      <c r="K140" s="97"/>
      <c r="L140" s="97" t="s">
        <v>236</v>
      </c>
      <c r="M140" s="100">
        <v>44197</v>
      </c>
      <c r="N140" s="97">
        <f t="shared" ref="N140:N143" si="6">215/F140</f>
        <v>215</v>
      </c>
      <c r="O140" s="97">
        <v>1</v>
      </c>
      <c r="P140" s="106">
        <v>4900</v>
      </c>
    </row>
    <row r="141" spans="1:16" x14ac:dyDescent="0.25">
      <c r="A141" s="7" t="s">
        <v>182</v>
      </c>
      <c r="B141" s="80" t="s">
        <v>341</v>
      </c>
      <c r="C141" s="27"/>
      <c r="D141" s="27"/>
      <c r="E141" s="11">
        <v>600</v>
      </c>
      <c r="F141" s="96">
        <v>2</v>
      </c>
      <c r="G141" s="97"/>
      <c r="H141" s="97">
        <v>1</v>
      </c>
      <c r="I141" s="97"/>
      <c r="J141" s="97">
        <v>2009</v>
      </c>
      <c r="K141" s="97"/>
      <c r="L141" s="97" t="s">
        <v>236</v>
      </c>
      <c r="M141" s="100">
        <v>44197</v>
      </c>
      <c r="N141" s="97">
        <v>107</v>
      </c>
      <c r="O141" s="97">
        <v>1</v>
      </c>
      <c r="P141" s="106">
        <v>2500</v>
      </c>
    </row>
    <row r="142" spans="1:16" x14ac:dyDescent="0.25">
      <c r="A142" s="7" t="s">
        <v>183</v>
      </c>
      <c r="B142" s="80" t="s">
        <v>184</v>
      </c>
      <c r="C142" s="27"/>
      <c r="D142" s="27"/>
      <c r="E142" s="11">
        <v>600</v>
      </c>
      <c r="F142" s="96">
        <v>1</v>
      </c>
      <c r="G142" s="97"/>
      <c r="H142" s="97">
        <v>1</v>
      </c>
      <c r="I142" s="97"/>
      <c r="J142" s="97">
        <v>2005</v>
      </c>
      <c r="K142" s="97"/>
      <c r="L142" s="97" t="s">
        <v>236</v>
      </c>
      <c r="M142" s="100">
        <v>44197</v>
      </c>
      <c r="N142" s="97">
        <f t="shared" si="6"/>
        <v>215</v>
      </c>
      <c r="O142" s="97">
        <v>0</v>
      </c>
      <c r="P142" s="98"/>
    </row>
    <row r="143" spans="1:16" x14ac:dyDescent="0.25">
      <c r="A143" s="7" t="s">
        <v>12</v>
      </c>
      <c r="B143" s="80" t="s">
        <v>13</v>
      </c>
      <c r="C143" s="27"/>
      <c r="D143" s="27"/>
      <c r="E143" s="11">
        <v>120</v>
      </c>
      <c r="F143" s="96">
        <v>1</v>
      </c>
      <c r="G143" s="97">
        <v>1</v>
      </c>
      <c r="H143" s="97"/>
      <c r="I143" s="97"/>
      <c r="J143" s="97">
        <v>2013</v>
      </c>
      <c r="K143" s="97"/>
      <c r="L143" s="97" t="s">
        <v>236</v>
      </c>
      <c r="M143" s="100">
        <v>44197</v>
      </c>
      <c r="N143" s="97">
        <f t="shared" si="6"/>
        <v>215</v>
      </c>
      <c r="O143" s="97">
        <v>0</v>
      </c>
      <c r="P143" s="98"/>
    </row>
    <row r="144" spans="1:16" s="125" customFormat="1" x14ac:dyDescent="0.25">
      <c r="A144" s="127"/>
      <c r="B144" s="80"/>
      <c r="C144" s="136"/>
      <c r="D144" s="136"/>
      <c r="E144" s="129"/>
      <c r="F144" s="150"/>
      <c r="G144" s="151"/>
      <c r="H144" s="151"/>
      <c r="I144" s="151"/>
      <c r="J144" s="151"/>
      <c r="K144" s="151"/>
      <c r="L144" s="151"/>
      <c r="M144" s="152"/>
      <c r="N144" s="151"/>
      <c r="O144" s="153"/>
      <c r="P144" s="105">
        <f>SUM(P140:P143)</f>
        <v>7400</v>
      </c>
    </row>
    <row r="145" spans="1:16" x14ac:dyDescent="0.25">
      <c r="A145" s="65" t="s">
        <v>108</v>
      </c>
      <c r="B145" s="65"/>
      <c r="C145" s="65"/>
      <c r="D145" s="65"/>
      <c r="E145" s="15">
        <v>104292</v>
      </c>
      <c r="F145" s="147" t="s">
        <v>238</v>
      </c>
      <c r="G145" s="148"/>
      <c r="H145" s="148"/>
      <c r="I145" s="148"/>
      <c r="J145" s="148"/>
      <c r="K145" s="148"/>
      <c r="L145" s="148"/>
      <c r="M145" s="148"/>
      <c r="N145" s="148"/>
      <c r="O145" s="149"/>
      <c r="P145" s="105">
        <f>P144+P135+P75+P67+P63+P53</f>
        <v>3946120</v>
      </c>
    </row>
    <row r="146" spans="1:16" x14ac:dyDescent="0.25">
      <c r="K146" s="34"/>
      <c r="L146" s="34"/>
      <c r="M146" s="34"/>
      <c r="N146" s="34"/>
      <c r="O146" s="34"/>
    </row>
  </sheetData>
  <mergeCells count="62">
    <mergeCell ref="P15:P16"/>
    <mergeCell ref="L75:O75"/>
    <mergeCell ref="F145:O145"/>
    <mergeCell ref="M55:M56"/>
    <mergeCell ref="N55:N56"/>
    <mergeCell ref="O55:O56"/>
    <mergeCell ref="P55:P56"/>
    <mergeCell ref="F138:F139"/>
    <mergeCell ref="G138:I138"/>
    <mergeCell ref="J138:J139"/>
    <mergeCell ref="K138:L138"/>
    <mergeCell ref="M138:M139"/>
    <mergeCell ref="N138:N139"/>
    <mergeCell ref="O138:O139"/>
    <mergeCell ref="P138:P139"/>
    <mergeCell ref="J55:J56"/>
    <mergeCell ref="K55:L55"/>
    <mergeCell ref="J4:J5"/>
    <mergeCell ref="K4:L4"/>
    <mergeCell ref="F55:F56"/>
    <mergeCell ref="G55:I55"/>
    <mergeCell ref="P81:P82"/>
    <mergeCell ref="A78:P78"/>
    <mergeCell ref="A79:P79"/>
    <mergeCell ref="J81:J82"/>
    <mergeCell ref="K81:L81"/>
    <mergeCell ref="F81:F82"/>
    <mergeCell ref="G81:I81"/>
    <mergeCell ref="M81:M82"/>
    <mergeCell ref="N81:N82"/>
    <mergeCell ref="O81:O82"/>
    <mergeCell ref="A6:E6"/>
    <mergeCell ref="A54:E54"/>
    <mergeCell ref="A55:E55"/>
    <mergeCell ref="A75:D75"/>
    <mergeCell ref="F4:F5"/>
    <mergeCell ref="B57:E57"/>
    <mergeCell ref="B56:C56"/>
    <mergeCell ref="D56:E56"/>
    <mergeCell ref="A64:E64"/>
    <mergeCell ref="A68:E68"/>
    <mergeCell ref="B138:E138"/>
    <mergeCell ref="D137:E137"/>
    <mergeCell ref="A145:D145"/>
    <mergeCell ref="D80:E80"/>
    <mergeCell ref="B81:E81"/>
    <mergeCell ref="A83:E83"/>
    <mergeCell ref="A125:E125"/>
    <mergeCell ref="A128:E128"/>
    <mergeCell ref="B80:C80"/>
    <mergeCell ref="B137:C137"/>
    <mergeCell ref="A136:E136"/>
    <mergeCell ref="B3:C3"/>
    <mergeCell ref="D3:E3"/>
    <mergeCell ref="B4:E4"/>
    <mergeCell ref="A1:P1"/>
    <mergeCell ref="A2:P2"/>
    <mergeCell ref="P4:P5"/>
    <mergeCell ref="G4:I4"/>
    <mergeCell ref="M4:M5"/>
    <mergeCell ref="N4:N5"/>
    <mergeCell ref="O4:O5"/>
  </mergeCells>
  <pageMargins left="0.7" right="0.7" top="0.87121212121212122" bottom="0.75" header="0.3" footer="0.3"/>
  <pageSetup scale="38" orientation="portrait" r:id="rId1"/>
  <headerFooter>
    <oddHeader>&amp;C&amp;G</oddHeader>
  </headerFooter>
  <rowBreaks count="1" manualBreakCount="1">
    <brk id="77" max="12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A26" sqref="A26:XFD26"/>
    </sheetView>
  </sheetViews>
  <sheetFormatPr baseColWidth="10" defaultRowHeight="15" x14ac:dyDescent="0.25"/>
  <cols>
    <col min="2" max="2" width="69.85546875" bestFit="1" customWidth="1"/>
    <col min="3" max="3" width="15.85546875" customWidth="1"/>
    <col min="4" max="4" width="12.5703125" bestFit="1" customWidth="1"/>
    <col min="5" max="5" width="15.5703125" customWidth="1"/>
  </cols>
  <sheetData>
    <row r="1" spans="1:5" s="125" customFormat="1" ht="27.75" customHeight="1" x14ac:dyDescent="0.25">
      <c r="A1" s="62" t="s">
        <v>219</v>
      </c>
      <c r="B1" s="63"/>
      <c r="C1" s="63"/>
      <c r="D1" s="63"/>
      <c r="E1" s="63"/>
    </row>
    <row r="2" spans="1:5" s="125" customFormat="1" ht="27.75" customHeight="1" x14ac:dyDescent="0.25">
      <c r="A2" s="63" t="s">
        <v>342</v>
      </c>
      <c r="B2" s="63"/>
      <c r="C2" s="63"/>
      <c r="D2" s="63"/>
      <c r="E2" s="63"/>
    </row>
    <row r="3" spans="1:5" s="125" customFormat="1" ht="27.75" customHeight="1" x14ac:dyDescent="0.25">
      <c r="A3" s="160" t="s">
        <v>109</v>
      </c>
      <c r="B3" s="160"/>
      <c r="C3" s="160"/>
      <c r="D3" s="160"/>
      <c r="E3" s="160"/>
    </row>
    <row r="4" spans="1:5" s="125" customFormat="1" ht="27.75" customHeight="1" x14ac:dyDescent="0.25">
      <c r="A4" s="134" t="s">
        <v>3</v>
      </c>
      <c r="B4" s="60" t="s">
        <v>95</v>
      </c>
      <c r="C4" s="60"/>
      <c r="D4" s="60"/>
      <c r="E4" s="60"/>
    </row>
    <row r="5" spans="1:5" s="125" customFormat="1" ht="27.75" customHeight="1" x14ac:dyDescent="0.25">
      <c r="A5" s="126" t="s">
        <v>255</v>
      </c>
      <c r="B5" s="154" t="s">
        <v>0</v>
      </c>
      <c r="C5" s="126" t="s">
        <v>35</v>
      </c>
      <c r="D5" s="126" t="s">
        <v>7</v>
      </c>
      <c r="E5" s="126" t="s">
        <v>8</v>
      </c>
    </row>
    <row r="6" spans="1:5" s="125" customFormat="1" ht="15.75" customHeight="1" x14ac:dyDescent="0.25">
      <c r="A6" s="65" t="s">
        <v>23</v>
      </c>
      <c r="B6" s="65"/>
      <c r="C6" s="65"/>
      <c r="D6" s="65"/>
      <c r="E6" s="65"/>
    </row>
    <row r="7" spans="1:5" x14ac:dyDescent="0.25">
      <c r="A7" s="138">
        <v>1</v>
      </c>
      <c r="B7" s="161" t="s">
        <v>307</v>
      </c>
      <c r="C7" s="162">
        <v>2</v>
      </c>
      <c r="D7" s="163">
        <v>9970</v>
      </c>
      <c r="E7" s="163">
        <f>C7*D7</f>
        <v>19940</v>
      </c>
    </row>
    <row r="8" spans="1:5" x14ac:dyDescent="0.25">
      <c r="A8" s="138">
        <v>2</v>
      </c>
      <c r="B8" s="137" t="s">
        <v>308</v>
      </c>
      <c r="C8" s="138">
        <v>2</v>
      </c>
      <c r="D8" s="163">
        <v>22500</v>
      </c>
      <c r="E8" s="163">
        <f>C8*D8</f>
        <v>45000</v>
      </c>
    </row>
    <row r="9" spans="1:5" x14ac:dyDescent="0.25">
      <c r="A9" s="138">
        <v>3</v>
      </c>
      <c r="B9" s="137" t="s">
        <v>309</v>
      </c>
      <c r="C9" s="138">
        <v>2</v>
      </c>
      <c r="D9" s="163">
        <v>3900</v>
      </c>
      <c r="E9" s="163">
        <f>C9*D9</f>
        <v>7800</v>
      </c>
    </row>
    <row r="10" spans="1:5" x14ac:dyDescent="0.25">
      <c r="A10" s="138">
        <v>4</v>
      </c>
      <c r="B10" s="137" t="s">
        <v>343</v>
      </c>
      <c r="C10" s="138">
        <v>2</v>
      </c>
      <c r="D10" s="163">
        <v>23400</v>
      </c>
      <c r="E10" s="163">
        <f>C10*D10</f>
        <v>46800</v>
      </c>
    </row>
    <row r="11" spans="1:5" x14ac:dyDescent="0.25">
      <c r="A11" s="137"/>
      <c r="B11" s="137"/>
      <c r="C11" s="137"/>
      <c r="D11" s="137"/>
      <c r="E11" s="164">
        <f>SUM(E7:E10)</f>
        <v>119540</v>
      </c>
    </row>
    <row r="13" spans="1:5" x14ac:dyDescent="0.25">
      <c r="A13" s="160" t="s">
        <v>344</v>
      </c>
      <c r="B13" s="160"/>
      <c r="C13" s="160"/>
      <c r="D13" s="160"/>
      <c r="E13" s="160"/>
    </row>
    <row r="14" spans="1:5" x14ac:dyDescent="0.25">
      <c r="A14" s="134" t="s">
        <v>3</v>
      </c>
      <c r="B14" s="60" t="s">
        <v>95</v>
      </c>
      <c r="C14" s="60"/>
      <c r="D14" s="60"/>
      <c r="E14" s="60"/>
    </row>
    <row r="15" spans="1:5" x14ac:dyDescent="0.25">
      <c r="A15" s="126" t="s">
        <v>255</v>
      </c>
      <c r="B15" s="154" t="s">
        <v>0</v>
      </c>
      <c r="C15" s="126" t="s">
        <v>35</v>
      </c>
      <c r="D15" s="126" t="s">
        <v>7</v>
      </c>
      <c r="E15" s="126" t="s">
        <v>8</v>
      </c>
    </row>
    <row r="16" spans="1:5" x14ac:dyDescent="0.25">
      <c r="A16" s="65" t="s">
        <v>23</v>
      </c>
      <c r="B16" s="65"/>
      <c r="C16" s="65"/>
      <c r="D16" s="65"/>
      <c r="E16" s="65"/>
    </row>
    <row r="17" spans="1:5" x14ac:dyDescent="0.25">
      <c r="A17" s="165">
        <v>5</v>
      </c>
      <c r="B17" s="168" t="s">
        <v>231</v>
      </c>
      <c r="C17" s="166">
        <v>2</v>
      </c>
      <c r="D17" s="163">
        <v>19999</v>
      </c>
      <c r="E17" s="163">
        <f>C17*D17</f>
        <v>39998</v>
      </c>
    </row>
    <row r="18" spans="1:5" x14ac:dyDescent="0.25">
      <c r="A18" s="165">
        <v>6</v>
      </c>
      <c r="B18" s="168" t="s">
        <v>232</v>
      </c>
      <c r="C18" s="167">
        <v>2</v>
      </c>
      <c r="D18" s="163">
        <v>20550</v>
      </c>
      <c r="E18" s="163">
        <f>C18*D18</f>
        <v>41100</v>
      </c>
    </row>
    <row r="19" spans="1:5" x14ac:dyDescent="0.25">
      <c r="A19" s="165">
        <v>7</v>
      </c>
      <c r="B19" s="168" t="s">
        <v>233</v>
      </c>
      <c r="C19" s="167">
        <v>2</v>
      </c>
      <c r="D19" s="163">
        <v>19999</v>
      </c>
      <c r="E19" s="163">
        <f>C19*D19</f>
        <v>39998</v>
      </c>
    </row>
    <row r="20" spans="1:5" x14ac:dyDescent="0.25">
      <c r="A20" s="165">
        <v>8</v>
      </c>
      <c r="B20" s="168" t="s">
        <v>234</v>
      </c>
      <c r="C20" s="167">
        <v>1</v>
      </c>
      <c r="D20" s="163">
        <v>382100</v>
      </c>
      <c r="E20" s="163">
        <f>C20*D20</f>
        <v>382100</v>
      </c>
    </row>
    <row r="21" spans="1:5" x14ac:dyDescent="0.25">
      <c r="A21" s="165">
        <v>9</v>
      </c>
      <c r="B21" s="168" t="s">
        <v>312</v>
      </c>
      <c r="C21" s="167">
        <v>1</v>
      </c>
      <c r="D21" s="73">
        <v>22700</v>
      </c>
      <c r="E21" s="163">
        <f t="shared" ref="E21:E25" si="0">C21*D21</f>
        <v>22700</v>
      </c>
    </row>
    <row r="22" spans="1:5" s="125" customFormat="1" x14ac:dyDescent="0.25">
      <c r="A22" s="165">
        <v>10</v>
      </c>
      <c r="B22" s="168" t="s">
        <v>345</v>
      </c>
      <c r="C22" s="167">
        <v>1</v>
      </c>
      <c r="D22" s="73">
        <v>17900</v>
      </c>
      <c r="E22" s="163">
        <f t="shared" si="0"/>
        <v>17900</v>
      </c>
    </row>
    <row r="23" spans="1:5" x14ac:dyDescent="0.25">
      <c r="A23" s="165">
        <v>11</v>
      </c>
      <c r="B23" s="168" t="s">
        <v>310</v>
      </c>
      <c r="C23" s="138">
        <v>20</v>
      </c>
      <c r="D23" s="73">
        <v>60</v>
      </c>
      <c r="E23" s="163">
        <f t="shared" si="0"/>
        <v>1200</v>
      </c>
    </row>
    <row r="24" spans="1:5" x14ac:dyDescent="0.25">
      <c r="A24" s="165">
        <v>12</v>
      </c>
      <c r="B24" s="168" t="s">
        <v>346</v>
      </c>
      <c r="C24" s="138">
        <v>2</v>
      </c>
      <c r="D24" s="73">
        <v>1200</v>
      </c>
      <c r="E24" s="163">
        <f t="shared" si="0"/>
        <v>2400</v>
      </c>
    </row>
    <row r="25" spans="1:5" x14ac:dyDescent="0.25">
      <c r="A25" s="165">
        <v>13</v>
      </c>
      <c r="B25" s="168" t="s">
        <v>311</v>
      </c>
      <c r="C25" s="138">
        <v>10</v>
      </c>
      <c r="D25" s="73">
        <v>470</v>
      </c>
      <c r="E25" s="163">
        <f t="shared" si="0"/>
        <v>4700</v>
      </c>
    </row>
    <row r="26" spans="1:5" x14ac:dyDescent="0.25">
      <c r="E26" s="105">
        <f>SUM(E17:E25)</f>
        <v>552096</v>
      </c>
    </row>
    <row r="27" spans="1:5" x14ac:dyDescent="0.25">
      <c r="E27" s="169"/>
    </row>
    <row r="28" spans="1:5" x14ac:dyDescent="0.25">
      <c r="E28" s="105">
        <f>E26+E11</f>
        <v>671636</v>
      </c>
    </row>
  </sheetData>
  <mergeCells count="8">
    <mergeCell ref="A13:E13"/>
    <mergeCell ref="B14:E14"/>
    <mergeCell ref="A16:E16"/>
    <mergeCell ref="A6:E6"/>
    <mergeCell ref="A3:E3"/>
    <mergeCell ref="A1:E1"/>
    <mergeCell ref="A2:E2"/>
    <mergeCell ref="B4:E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zoomScaleNormal="100" zoomScaleSheetLayoutView="85" zoomScalePageLayoutView="55" workbookViewId="0">
      <selection sqref="A1:XFD9"/>
    </sheetView>
  </sheetViews>
  <sheetFormatPr baseColWidth="10" defaultRowHeight="15" x14ac:dyDescent="0.25"/>
  <cols>
    <col min="2" max="2" width="36.28515625" customWidth="1"/>
    <col min="10" max="10" width="13" customWidth="1"/>
    <col min="16" max="16" width="13.85546875" bestFit="1" customWidth="1"/>
  </cols>
  <sheetData>
    <row r="1" spans="1:16" ht="15" customHeight="1" x14ac:dyDescent="0.25">
      <c r="A1" s="62" t="s">
        <v>219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6" ht="15" customHeight="1" x14ac:dyDescent="0.25">
      <c r="A2" s="62" t="s">
        <v>45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16" ht="24" customHeight="1" x14ac:dyDescent="0.25">
      <c r="A3" s="20" t="s">
        <v>2</v>
      </c>
      <c r="B3" s="66" t="s">
        <v>201</v>
      </c>
      <c r="C3" s="66"/>
      <c r="D3" s="67" t="s">
        <v>200</v>
      </c>
      <c r="E3" s="67"/>
    </row>
    <row r="4" spans="1:16" x14ac:dyDescent="0.25">
      <c r="A4" s="20" t="s">
        <v>3</v>
      </c>
      <c r="B4" s="60" t="s">
        <v>202</v>
      </c>
      <c r="C4" s="60"/>
      <c r="D4" s="60"/>
      <c r="E4" s="60"/>
    </row>
    <row r="5" spans="1:16" x14ac:dyDescent="0.25">
      <c r="A5" s="16" t="s">
        <v>4</v>
      </c>
      <c r="B5" s="17" t="s">
        <v>0</v>
      </c>
      <c r="C5" s="17" t="s">
        <v>6</v>
      </c>
      <c r="D5" s="18" t="s">
        <v>7</v>
      </c>
      <c r="E5" s="19" t="s">
        <v>8</v>
      </c>
      <c r="F5" s="53" t="s">
        <v>209</v>
      </c>
      <c r="G5" s="54" t="s">
        <v>210</v>
      </c>
      <c r="H5" s="54"/>
      <c r="I5" s="54"/>
      <c r="J5" s="49" t="s">
        <v>218</v>
      </c>
      <c r="K5" s="51" t="s">
        <v>215</v>
      </c>
      <c r="L5" s="52"/>
      <c r="M5" s="55" t="s">
        <v>211</v>
      </c>
      <c r="N5" s="55" t="s">
        <v>213</v>
      </c>
      <c r="O5" s="55" t="s">
        <v>212</v>
      </c>
      <c r="P5" s="55" t="s">
        <v>214</v>
      </c>
    </row>
    <row r="6" spans="1:16" x14ac:dyDescent="0.25">
      <c r="A6" s="65" t="s">
        <v>23</v>
      </c>
      <c r="B6" s="65"/>
      <c r="C6" s="65"/>
      <c r="D6" s="65"/>
      <c r="E6" s="65"/>
      <c r="F6" s="53"/>
      <c r="G6" s="31" t="s">
        <v>205</v>
      </c>
      <c r="H6" s="31" t="s">
        <v>206</v>
      </c>
      <c r="I6" s="31" t="s">
        <v>207</v>
      </c>
      <c r="J6" s="50"/>
      <c r="K6" s="31" t="s">
        <v>216</v>
      </c>
      <c r="L6" s="31" t="s">
        <v>217</v>
      </c>
      <c r="M6" s="55"/>
      <c r="N6" s="55"/>
      <c r="O6" s="55"/>
      <c r="P6" s="55"/>
    </row>
    <row r="7" spans="1:16" x14ac:dyDescent="0.25">
      <c r="A7" s="21" t="s">
        <v>190</v>
      </c>
      <c r="B7" s="8" t="s">
        <v>347</v>
      </c>
      <c r="C7" s="9">
        <v>8</v>
      </c>
      <c r="D7" s="10">
        <v>350</v>
      </c>
      <c r="E7" s="13">
        <v>2800</v>
      </c>
      <c r="F7" s="32">
        <v>0</v>
      </c>
      <c r="G7" s="32"/>
      <c r="H7" s="32"/>
      <c r="I7" s="32"/>
      <c r="J7" s="32" t="s">
        <v>235</v>
      </c>
      <c r="K7" s="32"/>
      <c r="L7" s="32"/>
      <c r="M7" s="32"/>
      <c r="N7" s="32"/>
      <c r="O7" s="128">
        <v>8</v>
      </c>
      <c r="P7" s="73">
        <v>2000</v>
      </c>
    </row>
    <row r="8" spans="1:16" x14ac:dyDescent="0.25">
      <c r="A8" s="21" t="s">
        <v>29</v>
      </c>
      <c r="B8" s="8" t="s">
        <v>30</v>
      </c>
      <c r="C8" s="9">
        <v>40</v>
      </c>
      <c r="D8" s="12">
        <v>1100</v>
      </c>
      <c r="E8" s="13">
        <v>44000</v>
      </c>
      <c r="F8" s="32">
        <v>0</v>
      </c>
      <c r="G8" s="32"/>
      <c r="H8" s="32"/>
      <c r="I8" s="32"/>
      <c r="J8" s="137" t="s">
        <v>235</v>
      </c>
      <c r="K8" s="32"/>
      <c r="L8" s="32"/>
      <c r="M8" s="32"/>
      <c r="N8" s="32"/>
      <c r="O8" s="128">
        <v>40</v>
      </c>
      <c r="P8" s="73">
        <f>O8*12000</f>
        <v>480000</v>
      </c>
    </row>
    <row r="9" spans="1:16" x14ac:dyDescent="0.25">
      <c r="A9" s="21" t="s">
        <v>191</v>
      </c>
      <c r="B9" s="8" t="s">
        <v>192</v>
      </c>
      <c r="C9" s="9">
        <v>1</v>
      </c>
      <c r="D9" s="10">
        <v>600</v>
      </c>
      <c r="E9" s="11">
        <v>600</v>
      </c>
      <c r="F9" s="32">
        <v>0</v>
      </c>
      <c r="G9" s="32"/>
      <c r="H9" s="32"/>
      <c r="I9" s="32"/>
      <c r="J9" s="137" t="s">
        <v>235</v>
      </c>
      <c r="K9" s="32"/>
      <c r="L9" s="32"/>
      <c r="M9" s="32"/>
      <c r="N9" s="32"/>
      <c r="O9" s="128">
        <v>1</v>
      </c>
      <c r="P9" s="73">
        <f>2200*O9</f>
        <v>2200</v>
      </c>
    </row>
    <row r="10" spans="1:16" x14ac:dyDescent="0.25">
      <c r="A10" s="21" t="s">
        <v>193</v>
      </c>
      <c r="B10" s="8" t="s">
        <v>348</v>
      </c>
      <c r="C10" s="9">
        <v>40</v>
      </c>
      <c r="D10" s="10">
        <v>50</v>
      </c>
      <c r="E10" s="13">
        <v>2000</v>
      </c>
      <c r="F10" s="32">
        <v>0</v>
      </c>
      <c r="G10" s="32"/>
      <c r="H10" s="32"/>
      <c r="I10" s="32"/>
      <c r="J10" s="137" t="s">
        <v>235</v>
      </c>
      <c r="K10" s="32"/>
      <c r="L10" s="32"/>
      <c r="M10" s="32"/>
      <c r="N10" s="32"/>
      <c r="O10" s="128">
        <v>40</v>
      </c>
      <c r="P10" s="73">
        <f>O10*1440</f>
        <v>57600</v>
      </c>
    </row>
    <row r="11" spans="1:16" x14ac:dyDescent="0.25">
      <c r="A11" s="135" t="s">
        <v>194</v>
      </c>
      <c r="B11" s="8" t="s">
        <v>349</v>
      </c>
      <c r="C11" s="9">
        <v>8</v>
      </c>
      <c r="D11" s="10">
        <v>150</v>
      </c>
      <c r="E11" s="13">
        <v>1200</v>
      </c>
      <c r="F11" s="32">
        <v>0</v>
      </c>
      <c r="G11" s="32"/>
      <c r="H11" s="32"/>
      <c r="I11" s="32"/>
      <c r="J11" s="137" t="s">
        <v>235</v>
      </c>
      <c r="K11" s="32"/>
      <c r="L11" s="32"/>
      <c r="M11" s="32"/>
      <c r="N11" s="32"/>
      <c r="O11" s="128">
        <v>8</v>
      </c>
      <c r="P11" s="73">
        <f>O11*2500</f>
        <v>20000</v>
      </c>
    </row>
    <row r="12" spans="1:16" x14ac:dyDescent="0.25">
      <c r="A12" s="65" t="s">
        <v>10</v>
      </c>
      <c r="B12" s="65"/>
      <c r="C12" s="65"/>
      <c r="D12" s="65"/>
      <c r="E12" s="65"/>
    </row>
    <row r="13" spans="1:16" x14ac:dyDescent="0.25">
      <c r="A13" s="21" t="s">
        <v>33</v>
      </c>
      <c r="B13" s="8" t="s">
        <v>42</v>
      </c>
      <c r="C13" s="9">
        <v>23</v>
      </c>
      <c r="D13" s="10">
        <v>140</v>
      </c>
      <c r="E13" s="13">
        <v>3220</v>
      </c>
      <c r="F13" s="32">
        <v>0</v>
      </c>
      <c r="G13" s="32"/>
      <c r="H13" s="32"/>
      <c r="I13" s="32"/>
      <c r="J13" s="32" t="s">
        <v>235</v>
      </c>
      <c r="K13" s="32"/>
      <c r="L13" s="32"/>
      <c r="M13" s="32"/>
      <c r="N13" s="32"/>
      <c r="O13" s="128">
        <v>23</v>
      </c>
      <c r="P13" s="73">
        <f>O13*1600</f>
        <v>36800</v>
      </c>
    </row>
    <row r="14" spans="1:16" x14ac:dyDescent="0.25">
      <c r="A14" s="21" t="s">
        <v>14</v>
      </c>
      <c r="B14" s="8" t="s">
        <v>15</v>
      </c>
      <c r="C14" s="9">
        <v>49</v>
      </c>
      <c r="D14" s="10">
        <v>35</v>
      </c>
      <c r="E14" s="13">
        <v>1715</v>
      </c>
      <c r="F14" s="32">
        <v>0</v>
      </c>
      <c r="G14" s="32"/>
      <c r="H14" s="32"/>
      <c r="I14" s="32"/>
      <c r="J14" s="137" t="s">
        <v>235</v>
      </c>
      <c r="K14" s="32"/>
      <c r="L14" s="32"/>
      <c r="M14" s="32"/>
      <c r="N14" s="32"/>
      <c r="O14" s="128">
        <v>49</v>
      </c>
      <c r="P14" s="73">
        <f>O14*770</f>
        <v>37730</v>
      </c>
    </row>
    <row r="15" spans="1:16" x14ac:dyDescent="0.25">
      <c r="A15" s="21" t="s">
        <v>31</v>
      </c>
      <c r="B15" s="8" t="s">
        <v>32</v>
      </c>
      <c r="C15" s="9">
        <v>1</v>
      </c>
      <c r="D15" s="10">
        <v>200</v>
      </c>
      <c r="E15" s="11">
        <v>200</v>
      </c>
      <c r="F15" s="32">
        <v>0</v>
      </c>
      <c r="G15" s="32"/>
      <c r="H15" s="32"/>
      <c r="I15" s="32"/>
      <c r="J15" s="137" t="s">
        <v>235</v>
      </c>
      <c r="K15" s="32"/>
      <c r="L15" s="32"/>
      <c r="M15" s="32"/>
      <c r="N15" s="32"/>
      <c r="O15" s="128">
        <v>1</v>
      </c>
      <c r="P15" s="73">
        <v>700</v>
      </c>
    </row>
    <row r="16" spans="1:16" x14ac:dyDescent="0.25">
      <c r="A16" s="21" t="s">
        <v>12</v>
      </c>
      <c r="B16" s="8" t="s">
        <v>13</v>
      </c>
      <c r="C16" s="9">
        <v>1</v>
      </c>
      <c r="D16" s="10">
        <v>60</v>
      </c>
      <c r="E16" s="11">
        <v>60</v>
      </c>
      <c r="F16" s="32">
        <v>0</v>
      </c>
      <c r="G16" s="32"/>
      <c r="H16" s="32"/>
      <c r="I16" s="32"/>
      <c r="J16" s="137" t="s">
        <v>235</v>
      </c>
      <c r="K16" s="32"/>
      <c r="L16" s="32"/>
      <c r="M16" s="32"/>
      <c r="N16" s="32"/>
      <c r="O16" s="128">
        <v>1</v>
      </c>
      <c r="P16" s="73">
        <v>1800</v>
      </c>
    </row>
    <row r="17" spans="1:16" x14ac:dyDescent="0.25">
      <c r="A17" s="65" t="s">
        <v>34</v>
      </c>
      <c r="B17" s="65"/>
      <c r="C17" s="65"/>
      <c r="D17" s="65"/>
      <c r="E17" s="65"/>
      <c r="P17" s="139"/>
    </row>
    <row r="18" spans="1:16" ht="22.5" x14ac:dyDescent="0.25">
      <c r="A18" s="21" t="s">
        <v>195</v>
      </c>
      <c r="B18" s="8" t="s">
        <v>350</v>
      </c>
      <c r="C18" s="9">
        <v>2</v>
      </c>
      <c r="D18" s="12">
        <v>3850</v>
      </c>
      <c r="E18" s="13">
        <v>7700</v>
      </c>
      <c r="F18" s="32">
        <v>0</v>
      </c>
      <c r="G18" s="32"/>
      <c r="H18" s="32"/>
      <c r="I18" s="32"/>
      <c r="J18" s="32" t="s">
        <v>235</v>
      </c>
      <c r="K18" s="32"/>
      <c r="L18" s="32"/>
      <c r="M18" s="32"/>
      <c r="N18" s="32"/>
      <c r="O18" s="128">
        <v>40</v>
      </c>
      <c r="P18" s="170"/>
    </row>
    <row r="19" spans="1:16" x14ac:dyDescent="0.25">
      <c r="A19" s="21" t="s">
        <v>196</v>
      </c>
      <c r="B19" s="8" t="s">
        <v>197</v>
      </c>
      <c r="C19" s="9">
        <v>2</v>
      </c>
      <c r="D19" s="12">
        <v>2000</v>
      </c>
      <c r="E19" s="13">
        <v>4000</v>
      </c>
      <c r="F19" s="32">
        <v>0</v>
      </c>
      <c r="G19" s="32"/>
      <c r="H19" s="32"/>
      <c r="I19" s="32"/>
      <c r="J19" s="137" t="s">
        <v>235</v>
      </c>
      <c r="K19" s="32"/>
      <c r="L19" s="32"/>
      <c r="M19" s="32"/>
      <c r="N19" s="32"/>
      <c r="O19" s="128">
        <v>40</v>
      </c>
      <c r="P19" s="170"/>
    </row>
    <row r="20" spans="1:16" x14ac:dyDescent="0.25">
      <c r="A20" s="21" t="s">
        <v>198</v>
      </c>
      <c r="B20" s="8" t="s">
        <v>199</v>
      </c>
      <c r="C20" s="9">
        <v>2</v>
      </c>
      <c r="D20" s="12">
        <v>2150</v>
      </c>
      <c r="E20" s="13">
        <v>4300</v>
      </c>
      <c r="F20" s="32">
        <v>0</v>
      </c>
      <c r="G20" s="32"/>
      <c r="H20" s="32"/>
      <c r="I20" s="32"/>
      <c r="J20" s="137" t="s">
        <v>235</v>
      </c>
      <c r="K20" s="32"/>
      <c r="L20" s="32"/>
      <c r="M20" s="32"/>
      <c r="N20" s="32"/>
      <c r="O20" s="128">
        <v>40</v>
      </c>
      <c r="P20" s="170"/>
    </row>
    <row r="21" spans="1:16" ht="15.75" x14ac:dyDescent="0.25">
      <c r="A21" s="67" t="s">
        <v>22</v>
      </c>
      <c r="B21" s="67"/>
      <c r="C21" s="67"/>
      <c r="D21" s="67"/>
      <c r="E21" s="15">
        <v>71795</v>
      </c>
      <c r="F21" s="70" t="s">
        <v>1</v>
      </c>
      <c r="G21" s="71"/>
      <c r="H21" s="71"/>
      <c r="I21" s="71"/>
      <c r="J21" s="71"/>
      <c r="K21" s="71"/>
      <c r="L21" s="71"/>
      <c r="M21" s="71"/>
      <c r="N21" s="71"/>
      <c r="O21" s="72"/>
      <c r="P21" s="171">
        <f>SUM(P9:P20)</f>
        <v>156830</v>
      </c>
    </row>
  </sheetData>
  <mergeCells count="18">
    <mergeCell ref="A12:E12"/>
    <mergeCell ref="A17:E17"/>
    <mergeCell ref="P5:P6"/>
    <mergeCell ref="A1:P1"/>
    <mergeCell ref="A2:P2"/>
    <mergeCell ref="F21:O21"/>
    <mergeCell ref="J5:J6"/>
    <mergeCell ref="K5:L5"/>
    <mergeCell ref="F5:F6"/>
    <mergeCell ref="G5:I5"/>
    <mergeCell ref="M5:M6"/>
    <mergeCell ref="N5:N6"/>
    <mergeCell ref="O5:O6"/>
    <mergeCell ref="A21:D21"/>
    <mergeCell ref="B3:C3"/>
    <mergeCell ref="B4:E4"/>
    <mergeCell ref="D3:E3"/>
    <mergeCell ref="A6:E6"/>
  </mergeCells>
  <pageMargins left="0.7" right="0.7" top="0.75" bottom="0.75" header="0.3" footer="0.3"/>
  <pageSetup scale="43" orientation="portrait" r:id="rId1"/>
  <headerFooter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topLeftCell="A7" workbookViewId="0">
      <selection activeCell="G17" sqref="G17"/>
    </sheetView>
  </sheetViews>
  <sheetFormatPr baseColWidth="10" defaultRowHeight="15" x14ac:dyDescent="0.25"/>
  <cols>
    <col min="2" max="2" width="30.42578125" customWidth="1"/>
    <col min="5" max="5" width="15.85546875" bestFit="1" customWidth="1"/>
  </cols>
  <sheetData>
    <row r="1" spans="1:5" s="125" customFormat="1" ht="15" customHeight="1" x14ac:dyDescent="0.25">
      <c r="A1" s="62" t="s">
        <v>219</v>
      </c>
      <c r="B1" s="63"/>
      <c r="C1" s="63"/>
      <c r="D1" s="63"/>
      <c r="E1" s="63"/>
    </row>
    <row r="2" spans="1:5" s="125" customFormat="1" ht="15" customHeight="1" x14ac:dyDescent="0.25">
      <c r="A2" s="47" t="s">
        <v>342</v>
      </c>
      <c r="B2" s="48"/>
      <c r="C2" s="48"/>
      <c r="D2" s="48"/>
      <c r="E2" s="48"/>
    </row>
    <row r="3" spans="1:5" s="125" customFormat="1" ht="24" customHeight="1" x14ac:dyDescent="0.25">
      <c r="A3" s="74" t="s">
        <v>201</v>
      </c>
      <c r="B3" s="75"/>
      <c r="C3" s="75"/>
      <c r="D3" s="75"/>
      <c r="E3" s="76"/>
    </row>
    <row r="4" spans="1:5" s="125" customFormat="1" x14ac:dyDescent="0.25">
      <c r="A4" s="134" t="s">
        <v>3</v>
      </c>
      <c r="B4" s="60" t="s">
        <v>202</v>
      </c>
      <c r="C4" s="60"/>
      <c r="D4" s="60"/>
      <c r="E4" s="60"/>
    </row>
    <row r="5" spans="1:5" s="125" customFormat="1" ht="15" customHeight="1" x14ac:dyDescent="0.25">
      <c r="A5" s="130" t="s">
        <v>255</v>
      </c>
      <c r="B5" s="131" t="s">
        <v>0</v>
      </c>
      <c r="C5" s="131" t="s">
        <v>6</v>
      </c>
      <c r="D5" s="132" t="s">
        <v>7</v>
      </c>
      <c r="E5" s="133" t="s">
        <v>8</v>
      </c>
    </row>
    <row r="6" spans="1:5" s="125" customFormat="1" x14ac:dyDescent="0.25">
      <c r="A6" s="65" t="s">
        <v>23</v>
      </c>
      <c r="B6" s="65"/>
      <c r="C6" s="65"/>
      <c r="D6" s="65"/>
      <c r="E6" s="65"/>
    </row>
    <row r="7" spans="1:5" s="125" customFormat="1" x14ac:dyDescent="0.25">
      <c r="A7" s="135">
        <v>1</v>
      </c>
      <c r="B7" s="78" t="s">
        <v>351</v>
      </c>
      <c r="C7" s="128">
        <v>2</v>
      </c>
      <c r="D7" s="128">
        <v>4800</v>
      </c>
      <c r="E7" s="172">
        <f>C7*D7</f>
        <v>9600</v>
      </c>
    </row>
    <row r="8" spans="1:5" s="125" customFormat="1" x14ac:dyDescent="0.25">
      <c r="A8" s="135">
        <v>2</v>
      </c>
      <c r="B8" s="78" t="s">
        <v>352</v>
      </c>
      <c r="C8" s="128">
        <v>2</v>
      </c>
      <c r="D8" s="128">
        <v>870</v>
      </c>
      <c r="E8" s="172">
        <f t="shared" ref="E8:E12" si="0">C8*D8</f>
        <v>1740</v>
      </c>
    </row>
    <row r="9" spans="1:5" s="125" customFormat="1" x14ac:dyDescent="0.25">
      <c r="A9" s="135">
        <v>3</v>
      </c>
      <c r="B9" s="78" t="s">
        <v>353</v>
      </c>
      <c r="C9" s="128">
        <v>4</v>
      </c>
      <c r="D9" s="128">
        <v>400</v>
      </c>
      <c r="E9" s="172">
        <f t="shared" si="0"/>
        <v>1600</v>
      </c>
    </row>
    <row r="10" spans="1:5" x14ac:dyDescent="0.25">
      <c r="A10" s="135">
        <v>4</v>
      </c>
      <c r="B10" s="78" t="s">
        <v>354</v>
      </c>
      <c r="C10" s="128">
        <v>1</v>
      </c>
      <c r="D10" s="128">
        <v>5500</v>
      </c>
      <c r="E10" s="172">
        <f t="shared" si="0"/>
        <v>5500</v>
      </c>
    </row>
    <row r="11" spans="1:5" x14ac:dyDescent="0.25">
      <c r="A11" s="135">
        <v>5</v>
      </c>
      <c r="B11" s="78" t="s">
        <v>355</v>
      </c>
      <c r="C11" s="128">
        <v>10</v>
      </c>
      <c r="D11" s="128">
        <v>500</v>
      </c>
      <c r="E11" s="172">
        <f t="shared" si="0"/>
        <v>5000</v>
      </c>
    </row>
    <row r="12" spans="1:5" x14ac:dyDescent="0.25">
      <c r="A12" s="135">
        <v>6</v>
      </c>
      <c r="B12" s="78" t="s">
        <v>356</v>
      </c>
      <c r="C12" s="128">
        <v>2</v>
      </c>
      <c r="D12" s="128">
        <v>630</v>
      </c>
      <c r="E12" s="172">
        <f t="shared" si="0"/>
        <v>1260</v>
      </c>
    </row>
    <row r="13" spans="1:5" ht="18.75" x14ac:dyDescent="0.3">
      <c r="E13" s="173">
        <f>SUM(E7:E12)</f>
        <v>24700</v>
      </c>
    </row>
    <row r="14" spans="1:5" ht="15.75" thickBot="1" x14ac:dyDescent="0.3"/>
    <row r="15" spans="1:5" x14ac:dyDescent="0.25">
      <c r="A15" s="174" t="s">
        <v>357</v>
      </c>
      <c r="B15" s="175"/>
      <c r="C15" s="175"/>
      <c r="D15" s="175"/>
      <c r="E15" s="176"/>
    </row>
    <row r="16" spans="1:5" x14ac:dyDescent="0.25">
      <c r="A16" s="177"/>
      <c r="B16" s="178"/>
      <c r="C16" s="178"/>
      <c r="D16" s="178"/>
      <c r="E16" s="179"/>
    </row>
    <row r="17" spans="1:5" x14ac:dyDescent="0.25">
      <c r="A17" s="177"/>
      <c r="B17" s="178"/>
      <c r="C17" s="178"/>
      <c r="D17" s="178"/>
      <c r="E17" s="179"/>
    </row>
    <row r="18" spans="1:5" ht="99" customHeight="1" thickBot="1" x14ac:dyDescent="0.3">
      <c r="A18" s="180"/>
      <c r="B18" s="181"/>
      <c r="C18" s="181"/>
      <c r="D18" s="181"/>
      <c r="E18" s="182"/>
    </row>
  </sheetData>
  <mergeCells count="6">
    <mergeCell ref="A15:E18"/>
    <mergeCell ref="A6:E6"/>
    <mergeCell ref="A3:E3"/>
    <mergeCell ref="A1:E1"/>
    <mergeCell ref="A2:E2"/>
    <mergeCell ref="B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Informática</vt:lpstr>
      <vt:lpstr>Diag Informatica</vt:lpstr>
      <vt:lpstr>Enfermeria Gral</vt:lpstr>
      <vt:lpstr>Diag Enfermería</vt:lpstr>
      <vt:lpstr>Administración</vt:lpstr>
      <vt:lpstr>Diag Administracion</vt:lpstr>
      <vt:lpstr>Administración!Área_de_impresión</vt:lpstr>
      <vt:lpstr>'Enfermeria Gral'!Área_de_impresión</vt:lpstr>
      <vt:lpstr>Informática!Área_de_impresión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</dc:creator>
  <cp:lastModifiedBy>Jefatura FT</cp:lastModifiedBy>
  <cp:lastPrinted>2020-11-05T17:27:26Z</cp:lastPrinted>
  <dcterms:created xsi:type="dcterms:W3CDTF">2020-09-18T16:03:14Z</dcterms:created>
  <dcterms:modified xsi:type="dcterms:W3CDTF">2021-03-20T02:38:11Z</dcterms:modified>
</cp:coreProperties>
</file>